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416"/>
  <workbookPr showInkAnnotation="0" codeName="ThisWorkbook" autoCompressPictures="0"/>
  <bookViews>
    <workbookView xWindow="0" yWindow="0" windowWidth="25600" windowHeight="14380" tabRatio="500" firstSheet="6" activeTab="7"/>
  </bookViews>
  <sheets>
    <sheet name="Instructions" sheetId="1" r:id="rId1"/>
    <sheet name="Questionnaire" sheetId="2" r:id="rId2"/>
    <sheet name="Master Control" sheetId="3" r:id="rId3"/>
    <sheet name="Answers" sheetId="4" r:id="rId4"/>
    <sheet name="Projections" sheetId="5" r:id="rId5"/>
    <sheet name="Y1 Balance Sheet" sheetId="7" r:id="rId6"/>
    <sheet name="Y1 Income Statement" sheetId="6" r:id="rId7"/>
    <sheet name="Y1 Statement of Cash Flow" sheetId="8" r:id="rId8"/>
    <sheet name="Valuation" sheetId="9" r:id="rId9"/>
    <sheet name="Y1 Bookkeeping" sheetId="10" r:id="rId10"/>
  </sheets>
  <definedNames>
    <definedName name="Additional_Monthly_Expenses">Questionnaire!$B$26</definedName>
    <definedName name="Amount_Due_To_Shareholders">'Master Control'!$B$7</definedName>
    <definedName name="Average_COGS">Questionnaire!$B$34</definedName>
    <definedName name="Average_Monthly_Costs">'Master Control'!$B$20</definedName>
    <definedName name="Average_Monthly_Gross_Revenue">Answers!$B$2</definedName>
    <definedName name="Average_Monthly_Net_Income">Answers!$B$5</definedName>
    <definedName name="Business_Name">Questionnaire!$B$1</definedName>
    <definedName name="Capital_Needed">Questionnaire!$B$29</definedName>
    <definedName name="Capitalization_Rate">'Master Control'!$B$31</definedName>
    <definedName name="Cash_On_Hand_Contingency_Funds">Questionnaire!$B$13</definedName>
    <definedName name="Compareable_P_E">'Master Control'!$B$27</definedName>
    <definedName name="Consultant_Fees">Questionnaire!$B$14</definedName>
    <definedName name="Contributed_Capital">Questionnaire!$B$3</definedName>
    <definedName name="Current_Fiscal_Year">Questionnaire!$B$2</definedName>
    <definedName name="Currently_Issued_Shares">'Master Control'!$B$30</definedName>
    <definedName name="DCF_NPV">Valuation!$B$8</definedName>
    <definedName name="Debt_Payment_Periods">'Master Control'!$B$8</definedName>
    <definedName name="Desired_Equity_Investment">'Master Control'!$B$29</definedName>
    <definedName name="Desired_IRR">'Master Control'!$B$28</definedName>
    <definedName name="Effective_Annual_Tax_Rate">Questionnaire!$B$38</definedName>
    <definedName name="Equipment">Questionnaire!$B$7</definedName>
    <definedName name="Financing_Shortfall">'Master Control'!$B$1</definedName>
    <definedName name="Founder_Ownership">'Master Control'!$B$6</definedName>
    <definedName name="Furniture">Questionnaire!$B$8</definedName>
    <definedName name="Grand_Opening_Promotion">Questionnaire!$B$12</definedName>
    <definedName name="Initial_Monthly_Sales_Estimate">Questionnaire!$B$35</definedName>
    <definedName name="Initial_Stock">Questionnaire!$B$11</definedName>
    <definedName name="Legal_Expenses">Questionnaire!$B$10</definedName>
    <definedName name="Length_of_Term_Loan">Questionnaire!$B$31</definedName>
    <definedName name="Loan_Principal">'Master Control'!$B$4</definedName>
    <definedName name="Maximum_Monthly_Debt_Payment">Answers!$B$3</definedName>
    <definedName name="Monthly_Break_Even_Sales_Point">'Master Control'!$C$22</definedName>
    <definedName name="Monthly_Insurance_Expense">Questionnaire!$B$24</definedName>
    <definedName name="Monthly_Interest_Rate">'Master Control'!$B$9</definedName>
    <definedName name="Monthly_Maintenance_Expense">Questionnaire!$B$23</definedName>
    <definedName name="Monthly_Marketing_Expense">Questionnaire!$B$25</definedName>
    <definedName name="Monthly_Rent">Questionnaire!$B$21</definedName>
    <definedName name="Monthly_Sales_Growth">Questionnaire!$B$36</definedName>
    <definedName name="Monthly_Utilities_Expense">Questionnaire!$B$22</definedName>
    <definedName name="Operating_Expenses">'Y1 Income Statement'!$C$21</definedName>
    <definedName name="Percentage_Debt_Financing">'Master Control'!$B$2</definedName>
    <definedName name="Percentage_Equity_Financing">'Master Control'!$B$3</definedName>
    <definedName name="Percentage_of_Company_Sold">'Master Control'!$B$5</definedName>
    <definedName name="Percentage_Of_Market_Captured">'Master Control'!$B$25</definedName>
    <definedName name="Permits">Questionnaire!$B$9</definedName>
    <definedName name="Sales_Margin">'Master Control'!$C$21</definedName>
    <definedName name="Start_Up_Expenses">Answers!$B$1</definedName>
    <definedName name="Tennant_Improvements">Questionnaire!$B$6</definedName>
    <definedName name="Term_Loan_Interest_Rate">Questionnaire!$B$30</definedName>
    <definedName name="Three_Years_Expenses">Projections!$AM$18</definedName>
    <definedName name="Three_Years_Of_COGS">Projections!$AM$8</definedName>
    <definedName name="Three_Years_Of_Income_Before_Taxes">Projections!$AM$20</definedName>
    <definedName name="Three_Years_Of_Sales">Projections!$AM$6</definedName>
    <definedName name="Total_Cash_Invested">Projections!$B$25</definedName>
    <definedName name="Total_Estimated_Market_Size">'Master Control'!$B$24</definedName>
    <definedName name="Venture_Capitalist_Valuation">Valuation!$B$4</definedName>
    <definedName name="Y1_Retained_Earnings">'Y1 Bookkeeping'!$B$7</definedName>
    <definedName name="Year_1_Compensation">Questionnaire!$B$18</definedName>
    <definedName name="Year_1_Pre_Tax_Income">Projections!$N$27</definedName>
    <definedName name="Year_2_Compensation">Questionnaire!$C$18</definedName>
    <definedName name="Year_2_Pre_Tax_Income">Projections!$Z$27</definedName>
    <definedName name="Year_3_Compensation">Questionnaire!$D$18</definedName>
    <definedName name="Year_3_Pre_Tax_Income">Projections!$AL$27</definedName>
    <definedName name="Year_One_COGS">'Y1 Income Statement'!$C$17</definedName>
    <definedName name="Year_One_Expenses">'Y1 Bookkeeping'!$B$6</definedName>
    <definedName name="Year_One_Tax_Expense">'Y1 Bookkeeping'!$T$30</definedName>
    <definedName name="Years_to_Exit">'Master Control'!$B$26</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25" i="8" l="1"/>
  <c r="C21" i="8"/>
  <c r="B4" i="3"/>
  <c r="B29" i="5"/>
  <c r="C31" i="5"/>
  <c r="S10" i="10"/>
  <c r="D31" i="5"/>
  <c r="S11" i="10"/>
  <c r="E31" i="5"/>
  <c r="S12" i="10"/>
  <c r="F31" i="5"/>
  <c r="S13" i="10"/>
  <c r="G31" i="5"/>
  <c r="S14" i="10"/>
  <c r="H31" i="5"/>
  <c r="S15" i="10"/>
  <c r="I31" i="5"/>
  <c r="S16" i="10"/>
  <c r="J31" i="5"/>
  <c r="S17" i="10"/>
  <c r="K31" i="5"/>
  <c r="S18" i="10"/>
  <c r="L31" i="5"/>
  <c r="S19" i="10"/>
  <c r="M31" i="5"/>
  <c r="S20" i="10"/>
  <c r="N31" i="5"/>
  <c r="S21" i="10"/>
  <c r="S30" i="10"/>
  <c r="C6" i="5"/>
  <c r="C8" i="5"/>
  <c r="R10" i="10"/>
  <c r="D4" i="5"/>
  <c r="D6" i="5"/>
  <c r="D8" i="5"/>
  <c r="R11" i="10"/>
  <c r="E4" i="5"/>
  <c r="E6" i="5"/>
  <c r="E8" i="5"/>
  <c r="R12" i="10"/>
  <c r="F4" i="5"/>
  <c r="F6" i="5"/>
  <c r="F8" i="5"/>
  <c r="R13" i="10"/>
  <c r="G4" i="5"/>
  <c r="G6" i="5"/>
  <c r="G8" i="5"/>
  <c r="R14" i="10"/>
  <c r="H4" i="5"/>
  <c r="H6" i="5"/>
  <c r="H8" i="5"/>
  <c r="R15" i="10"/>
  <c r="I4" i="5"/>
  <c r="I6" i="5"/>
  <c r="I8" i="5"/>
  <c r="R16" i="10"/>
  <c r="J4" i="5"/>
  <c r="J6" i="5"/>
  <c r="J8" i="5"/>
  <c r="R17" i="10"/>
  <c r="K4" i="5"/>
  <c r="K6" i="5"/>
  <c r="K8" i="5"/>
  <c r="R18" i="10"/>
  <c r="L4" i="5"/>
  <c r="L6" i="5"/>
  <c r="L8" i="5"/>
  <c r="R19" i="10"/>
  <c r="M4" i="5"/>
  <c r="M6" i="5"/>
  <c r="M8" i="5"/>
  <c r="R20" i="10"/>
  <c r="N4" i="5"/>
  <c r="N6" i="5"/>
  <c r="N8" i="5"/>
  <c r="R21" i="10"/>
  <c r="R30" i="10"/>
  <c r="B3" i="4"/>
  <c r="C17" i="5"/>
  <c r="C18" i="5"/>
  <c r="C20" i="5"/>
  <c r="C22" i="5"/>
  <c r="T10" i="10"/>
  <c r="D17" i="5"/>
  <c r="D18" i="5"/>
  <c r="D20" i="5"/>
  <c r="D22" i="5"/>
  <c r="T11" i="10"/>
  <c r="E17" i="5"/>
  <c r="E18" i="5"/>
  <c r="E20" i="5"/>
  <c r="E22" i="5"/>
  <c r="T12" i="10"/>
  <c r="F17" i="5"/>
  <c r="F18" i="5"/>
  <c r="F20" i="5"/>
  <c r="F22" i="5"/>
  <c r="T13" i="10"/>
  <c r="G17" i="5"/>
  <c r="G18" i="5"/>
  <c r="G20" i="5"/>
  <c r="G22" i="5"/>
  <c r="T14" i="10"/>
  <c r="H17" i="5"/>
  <c r="H18" i="5"/>
  <c r="H20" i="5"/>
  <c r="H22" i="5"/>
  <c r="T15" i="10"/>
  <c r="I17" i="5"/>
  <c r="I18" i="5"/>
  <c r="I20" i="5"/>
  <c r="I22" i="5"/>
  <c r="T16" i="10"/>
  <c r="J17" i="5"/>
  <c r="J18" i="5"/>
  <c r="J20" i="5"/>
  <c r="J22" i="5"/>
  <c r="T17" i="10"/>
  <c r="K17" i="5"/>
  <c r="K18" i="5"/>
  <c r="K20" i="5"/>
  <c r="K22" i="5"/>
  <c r="T18" i="10"/>
  <c r="L17" i="5"/>
  <c r="L18" i="5"/>
  <c r="L20" i="5"/>
  <c r="L22" i="5"/>
  <c r="T19" i="10"/>
  <c r="M17" i="5"/>
  <c r="M18" i="5"/>
  <c r="M20" i="5"/>
  <c r="M22" i="5"/>
  <c r="T20" i="10"/>
  <c r="N17" i="5"/>
  <c r="N18" i="5"/>
  <c r="N20" i="5"/>
  <c r="N22" i="5"/>
  <c r="T21" i="10"/>
  <c r="T30" i="10"/>
  <c r="B6" i="10"/>
  <c r="C13" i="6"/>
  <c r="C14" i="6"/>
  <c r="C15" i="6"/>
  <c r="C16" i="6"/>
  <c r="C17" i="6"/>
  <c r="C21" i="6"/>
  <c r="C27" i="6"/>
  <c r="C28" i="6"/>
  <c r="C10" i="6"/>
  <c r="C19" i="6"/>
  <c r="C22" i="6"/>
  <c r="C29" i="6"/>
  <c r="C30" i="6"/>
  <c r="C31" i="6"/>
  <c r="C11" i="8"/>
  <c r="C16" i="8"/>
  <c r="C18" i="7"/>
  <c r="C28" i="8"/>
  <c r="C32" i="8"/>
  <c r="C30" i="5"/>
  <c r="C29" i="5"/>
  <c r="D30" i="5"/>
  <c r="D29" i="5"/>
  <c r="E30" i="5"/>
  <c r="E29" i="5"/>
  <c r="F30" i="5"/>
  <c r="F29" i="5"/>
  <c r="G30" i="5"/>
  <c r="G29" i="5"/>
  <c r="H30" i="5"/>
  <c r="H29" i="5"/>
  <c r="I30" i="5"/>
  <c r="I29" i="5"/>
  <c r="J30" i="5"/>
  <c r="J29" i="5"/>
  <c r="K30" i="5"/>
  <c r="K29" i="5"/>
  <c r="L30" i="5"/>
  <c r="L29" i="5"/>
  <c r="M30" i="5"/>
  <c r="M29" i="5"/>
  <c r="N30" i="5"/>
  <c r="N29" i="5"/>
  <c r="C36" i="8"/>
  <c r="B3" i="3"/>
  <c r="B7" i="3"/>
  <c r="C35" i="8"/>
  <c r="C37" i="8"/>
  <c r="C39" i="8"/>
  <c r="C41" i="8"/>
  <c r="A12" i="10"/>
  <c r="A13" i="10"/>
  <c r="A26" i="10"/>
  <c r="A27" i="10"/>
  <c r="A29" i="10"/>
  <c r="A28" i="10"/>
  <c r="A30" i="10"/>
  <c r="C23" i="8"/>
  <c r="O4" i="5"/>
  <c r="O6" i="5"/>
  <c r="O8" i="5"/>
  <c r="O17" i="5"/>
  <c r="O18" i="5"/>
  <c r="O20" i="5"/>
  <c r="O22" i="5"/>
  <c r="P4" i="5"/>
  <c r="P6" i="5"/>
  <c r="P8" i="5"/>
  <c r="P17" i="5"/>
  <c r="P18" i="5"/>
  <c r="P20" i="5"/>
  <c r="P22" i="5"/>
  <c r="Q4" i="5"/>
  <c r="Q6" i="5"/>
  <c r="Q8" i="5"/>
  <c r="Q17" i="5"/>
  <c r="Q18" i="5"/>
  <c r="Q20" i="5"/>
  <c r="Q22" i="5"/>
  <c r="R4" i="5"/>
  <c r="R6" i="5"/>
  <c r="R8" i="5"/>
  <c r="R17" i="5"/>
  <c r="R18" i="5"/>
  <c r="R20" i="5"/>
  <c r="R22" i="5"/>
  <c r="S4" i="5"/>
  <c r="S6" i="5"/>
  <c r="S8" i="5"/>
  <c r="S17" i="5"/>
  <c r="S18" i="5"/>
  <c r="S20" i="5"/>
  <c r="S22" i="5"/>
  <c r="T4" i="5"/>
  <c r="T6" i="5"/>
  <c r="T8" i="5"/>
  <c r="T17" i="5"/>
  <c r="T18" i="5"/>
  <c r="T20" i="5"/>
  <c r="T22" i="5"/>
  <c r="U4" i="5"/>
  <c r="U6" i="5"/>
  <c r="U8" i="5"/>
  <c r="U17" i="5"/>
  <c r="U18" i="5"/>
  <c r="U20" i="5"/>
  <c r="U22" i="5"/>
  <c r="V4" i="5"/>
  <c r="V6" i="5"/>
  <c r="V8" i="5"/>
  <c r="V17" i="5"/>
  <c r="V18" i="5"/>
  <c r="V20" i="5"/>
  <c r="V22" i="5"/>
  <c r="W4" i="5"/>
  <c r="W6" i="5"/>
  <c r="W8" i="5"/>
  <c r="W17" i="5"/>
  <c r="W18" i="5"/>
  <c r="W20" i="5"/>
  <c r="W22" i="5"/>
  <c r="X4" i="5"/>
  <c r="X6" i="5"/>
  <c r="X8" i="5"/>
  <c r="X17" i="5"/>
  <c r="X18" i="5"/>
  <c r="X20" i="5"/>
  <c r="X22" i="5"/>
  <c r="Y4" i="5"/>
  <c r="Y6" i="5"/>
  <c r="Y8" i="5"/>
  <c r="Y17" i="5"/>
  <c r="Y18" i="5"/>
  <c r="Y20" i="5"/>
  <c r="Y22" i="5"/>
  <c r="Z4" i="5"/>
  <c r="Z6" i="5"/>
  <c r="Z8" i="5"/>
  <c r="Z17" i="5"/>
  <c r="Z18" i="5"/>
  <c r="Z20" i="5"/>
  <c r="Z22" i="5"/>
  <c r="AA4" i="5"/>
  <c r="AA6" i="5"/>
  <c r="AA8" i="5"/>
  <c r="AA17" i="5"/>
  <c r="AA18" i="5"/>
  <c r="AA20" i="5"/>
  <c r="AA22" i="5"/>
  <c r="AB4" i="5"/>
  <c r="AB6" i="5"/>
  <c r="AB8" i="5"/>
  <c r="AB17" i="5"/>
  <c r="AB18" i="5"/>
  <c r="AB20" i="5"/>
  <c r="AB22" i="5"/>
  <c r="AC4" i="5"/>
  <c r="AC6" i="5"/>
  <c r="AC8" i="5"/>
  <c r="AC17" i="5"/>
  <c r="AC18" i="5"/>
  <c r="AC20" i="5"/>
  <c r="AC22" i="5"/>
  <c r="AD4" i="5"/>
  <c r="AD6" i="5"/>
  <c r="AD8" i="5"/>
  <c r="AD17" i="5"/>
  <c r="AD18" i="5"/>
  <c r="AD20" i="5"/>
  <c r="AD22" i="5"/>
  <c r="AE4" i="5"/>
  <c r="AE6" i="5"/>
  <c r="AE8" i="5"/>
  <c r="AE17" i="5"/>
  <c r="AE18" i="5"/>
  <c r="AE20" i="5"/>
  <c r="AE22" i="5"/>
  <c r="AF4" i="5"/>
  <c r="AF6" i="5"/>
  <c r="AF8" i="5"/>
  <c r="AF17" i="5"/>
  <c r="AF18" i="5"/>
  <c r="AF20" i="5"/>
  <c r="AF22" i="5"/>
  <c r="AG4" i="5"/>
  <c r="AG6" i="5"/>
  <c r="AG8" i="5"/>
  <c r="AG17" i="5"/>
  <c r="AG18" i="5"/>
  <c r="AG20" i="5"/>
  <c r="AG22" i="5"/>
  <c r="AH4" i="5"/>
  <c r="AH6" i="5"/>
  <c r="AH8" i="5"/>
  <c r="AH17" i="5"/>
  <c r="AH18" i="5"/>
  <c r="AH20" i="5"/>
  <c r="AH22" i="5"/>
  <c r="AI4" i="5"/>
  <c r="AI6" i="5"/>
  <c r="AI8" i="5"/>
  <c r="AI17" i="5"/>
  <c r="AI18" i="5"/>
  <c r="AI20" i="5"/>
  <c r="AI22" i="5"/>
  <c r="AJ4" i="5"/>
  <c r="AJ6" i="5"/>
  <c r="AJ8" i="5"/>
  <c r="AJ17" i="5"/>
  <c r="AJ18" i="5"/>
  <c r="AJ20" i="5"/>
  <c r="AJ22" i="5"/>
  <c r="AK4" i="5"/>
  <c r="AK6" i="5"/>
  <c r="AK8" i="5"/>
  <c r="AK17" i="5"/>
  <c r="AK18" i="5"/>
  <c r="AK20" i="5"/>
  <c r="AK22" i="5"/>
  <c r="AL4" i="5"/>
  <c r="AL6" i="5"/>
  <c r="AL8" i="5"/>
  <c r="AL17" i="5"/>
  <c r="AL18" i="5"/>
  <c r="AL20" i="5"/>
  <c r="AL22" i="5"/>
  <c r="B9" i="3"/>
  <c r="C34" i="7"/>
  <c r="C10" i="5"/>
  <c r="C11" i="5"/>
  <c r="C12" i="5"/>
  <c r="C13" i="5"/>
  <c r="C14" i="5"/>
  <c r="C15" i="5"/>
  <c r="C16" i="5"/>
  <c r="D10" i="5"/>
  <c r="D11" i="5"/>
  <c r="D12" i="5"/>
  <c r="D13" i="5"/>
  <c r="D14" i="5"/>
  <c r="D15" i="5"/>
  <c r="D16" i="5"/>
  <c r="E10" i="5"/>
  <c r="E11" i="5"/>
  <c r="E12" i="5"/>
  <c r="E13" i="5"/>
  <c r="E14" i="5"/>
  <c r="E15" i="5"/>
  <c r="E16" i="5"/>
  <c r="F10" i="5"/>
  <c r="F11" i="5"/>
  <c r="F12" i="5"/>
  <c r="F13" i="5"/>
  <c r="F14" i="5"/>
  <c r="F15" i="5"/>
  <c r="F16" i="5"/>
  <c r="G10" i="5"/>
  <c r="G11" i="5"/>
  <c r="G12" i="5"/>
  <c r="G13" i="5"/>
  <c r="G14" i="5"/>
  <c r="G15" i="5"/>
  <c r="G16" i="5"/>
  <c r="H10" i="5"/>
  <c r="H11" i="5"/>
  <c r="H12" i="5"/>
  <c r="H13" i="5"/>
  <c r="H14" i="5"/>
  <c r="H15" i="5"/>
  <c r="H16" i="5"/>
  <c r="I10" i="5"/>
  <c r="I11" i="5"/>
  <c r="I12" i="5"/>
  <c r="I13" i="5"/>
  <c r="I14" i="5"/>
  <c r="I15" i="5"/>
  <c r="I16" i="5"/>
  <c r="J10" i="5"/>
  <c r="J11" i="5"/>
  <c r="J12" i="5"/>
  <c r="J13" i="5"/>
  <c r="J14" i="5"/>
  <c r="J15" i="5"/>
  <c r="J16" i="5"/>
  <c r="K10" i="5"/>
  <c r="K11" i="5"/>
  <c r="K12" i="5"/>
  <c r="K13" i="5"/>
  <c r="K14" i="5"/>
  <c r="K15" i="5"/>
  <c r="K16" i="5"/>
  <c r="L10" i="5"/>
  <c r="L11" i="5"/>
  <c r="L12" i="5"/>
  <c r="L13" i="5"/>
  <c r="L14" i="5"/>
  <c r="L15" i="5"/>
  <c r="L16" i="5"/>
  <c r="M10" i="5"/>
  <c r="M11" i="5"/>
  <c r="M12" i="5"/>
  <c r="M13" i="5"/>
  <c r="M14" i="5"/>
  <c r="M15" i="5"/>
  <c r="M16" i="5"/>
  <c r="N10" i="5"/>
  <c r="N11" i="5"/>
  <c r="N12" i="5"/>
  <c r="N13" i="5"/>
  <c r="N14" i="5"/>
  <c r="N15" i="5"/>
  <c r="N16" i="5"/>
  <c r="N27" i="5"/>
  <c r="U10" i="10"/>
  <c r="U11" i="10"/>
  <c r="U12" i="10"/>
  <c r="U13" i="10"/>
  <c r="U14" i="10"/>
  <c r="U15" i="10"/>
  <c r="U16" i="10"/>
  <c r="U17" i="10"/>
  <c r="U18" i="10"/>
  <c r="U19" i="10"/>
  <c r="U20" i="10"/>
  <c r="U21" i="10"/>
  <c r="U30" i="10"/>
  <c r="B5" i="10"/>
  <c r="B7" i="10"/>
  <c r="C35" i="7"/>
  <c r="G10" i="10"/>
  <c r="G30" i="10"/>
  <c r="H10" i="10"/>
  <c r="H30" i="10"/>
  <c r="I10" i="10"/>
  <c r="I30" i="10"/>
  <c r="J10" i="10"/>
  <c r="J11" i="10"/>
  <c r="J30" i="10"/>
  <c r="K10" i="10"/>
  <c r="K30" i="10"/>
  <c r="L10" i="10"/>
  <c r="L30" i="10"/>
  <c r="M10" i="10"/>
  <c r="M30" i="10"/>
  <c r="N10" i="10"/>
  <c r="N30" i="10"/>
  <c r="O10" i="10"/>
  <c r="O30" i="10"/>
  <c r="P10" i="10"/>
  <c r="P30" i="10"/>
  <c r="Q10" i="10"/>
  <c r="Q30" i="10"/>
  <c r="B25" i="5"/>
  <c r="A10" i="10"/>
  <c r="A11" i="10"/>
  <c r="A14" i="10"/>
  <c r="A15" i="10"/>
  <c r="A16" i="10"/>
  <c r="A17" i="10"/>
  <c r="A18" i="10"/>
  <c r="A19" i="10"/>
  <c r="A20" i="10"/>
  <c r="A21" i="10"/>
  <c r="A22" i="10"/>
  <c r="A23" i="10"/>
  <c r="A24" i="10"/>
  <c r="A25" i="10"/>
  <c r="B10" i="10"/>
  <c r="B30" i="10"/>
  <c r="C10" i="10"/>
  <c r="C30" i="10"/>
  <c r="D10" i="10"/>
  <c r="D30" i="10"/>
  <c r="B1" i="10"/>
  <c r="E10" i="10"/>
  <c r="E11" i="10"/>
  <c r="E12" i="10"/>
  <c r="E13" i="10"/>
  <c r="E14" i="10"/>
  <c r="E15" i="10"/>
  <c r="E16" i="10"/>
  <c r="E17" i="10"/>
  <c r="E18" i="10"/>
  <c r="E19" i="10"/>
  <c r="E20" i="10"/>
  <c r="E21" i="10"/>
  <c r="E22" i="10"/>
  <c r="E30" i="10"/>
  <c r="B2" i="10"/>
  <c r="F10" i="10"/>
  <c r="F30" i="10"/>
  <c r="B3" i="10"/>
  <c r="B4" i="10"/>
  <c r="O10" i="5"/>
  <c r="O11" i="5"/>
  <c r="O12" i="5"/>
  <c r="O13" i="5"/>
  <c r="O14" i="5"/>
  <c r="O15" i="5"/>
  <c r="O16" i="5"/>
  <c r="P10" i="5"/>
  <c r="P11" i="5"/>
  <c r="P12" i="5"/>
  <c r="P13" i="5"/>
  <c r="P14" i="5"/>
  <c r="P15" i="5"/>
  <c r="P16" i="5"/>
  <c r="Q10" i="5"/>
  <c r="Q11" i="5"/>
  <c r="Q12" i="5"/>
  <c r="Q13" i="5"/>
  <c r="Q14" i="5"/>
  <c r="Q15" i="5"/>
  <c r="Q16" i="5"/>
  <c r="R10" i="5"/>
  <c r="R11" i="5"/>
  <c r="R12" i="5"/>
  <c r="R13" i="5"/>
  <c r="R14" i="5"/>
  <c r="R15" i="5"/>
  <c r="R16" i="5"/>
  <c r="S10" i="5"/>
  <c r="S11" i="5"/>
  <c r="S12" i="5"/>
  <c r="S13" i="5"/>
  <c r="S14" i="5"/>
  <c r="S15" i="5"/>
  <c r="S16" i="5"/>
  <c r="T10" i="5"/>
  <c r="T11" i="5"/>
  <c r="T12" i="5"/>
  <c r="T13" i="5"/>
  <c r="T14" i="5"/>
  <c r="T15" i="5"/>
  <c r="T16" i="5"/>
  <c r="U10" i="5"/>
  <c r="U11" i="5"/>
  <c r="U12" i="5"/>
  <c r="U13" i="5"/>
  <c r="U14" i="5"/>
  <c r="U15" i="5"/>
  <c r="U16" i="5"/>
  <c r="V10" i="5"/>
  <c r="V11" i="5"/>
  <c r="V12" i="5"/>
  <c r="V13" i="5"/>
  <c r="V14" i="5"/>
  <c r="V15" i="5"/>
  <c r="V16" i="5"/>
  <c r="W10" i="5"/>
  <c r="W11" i="5"/>
  <c r="W12" i="5"/>
  <c r="W13" i="5"/>
  <c r="W14" i="5"/>
  <c r="W15" i="5"/>
  <c r="W16" i="5"/>
  <c r="X10" i="5"/>
  <c r="X11" i="5"/>
  <c r="X12" i="5"/>
  <c r="X13" i="5"/>
  <c r="X14" i="5"/>
  <c r="X15" i="5"/>
  <c r="X16" i="5"/>
  <c r="Y10" i="5"/>
  <c r="Y11" i="5"/>
  <c r="Y12" i="5"/>
  <c r="Y13" i="5"/>
  <c r="Y14" i="5"/>
  <c r="Y15" i="5"/>
  <c r="Y16" i="5"/>
  <c r="Z10" i="5"/>
  <c r="Z11" i="5"/>
  <c r="Z12" i="5"/>
  <c r="Z13" i="5"/>
  <c r="Z14" i="5"/>
  <c r="Z15" i="5"/>
  <c r="Z16" i="5"/>
  <c r="AA10" i="5"/>
  <c r="AA11" i="5"/>
  <c r="AA12" i="5"/>
  <c r="AA13" i="5"/>
  <c r="AA14" i="5"/>
  <c r="AA15" i="5"/>
  <c r="AA16" i="5"/>
  <c r="AB10" i="5"/>
  <c r="AB11" i="5"/>
  <c r="AB12" i="5"/>
  <c r="AB13" i="5"/>
  <c r="AB14" i="5"/>
  <c r="AB15" i="5"/>
  <c r="AB16" i="5"/>
  <c r="AC10" i="5"/>
  <c r="AC11" i="5"/>
  <c r="AC12" i="5"/>
  <c r="AC13" i="5"/>
  <c r="AC14" i="5"/>
  <c r="AC15" i="5"/>
  <c r="AC16" i="5"/>
  <c r="AD10" i="5"/>
  <c r="AD11" i="5"/>
  <c r="AD12" i="5"/>
  <c r="AD13" i="5"/>
  <c r="AD14" i="5"/>
  <c r="AD15" i="5"/>
  <c r="AD16" i="5"/>
  <c r="AE10" i="5"/>
  <c r="AE11" i="5"/>
  <c r="AE12" i="5"/>
  <c r="AE13" i="5"/>
  <c r="AE14" i="5"/>
  <c r="AE15" i="5"/>
  <c r="AE16" i="5"/>
  <c r="AF10" i="5"/>
  <c r="AF11" i="5"/>
  <c r="AF12" i="5"/>
  <c r="AF13" i="5"/>
  <c r="AF14" i="5"/>
  <c r="AF15" i="5"/>
  <c r="AF16" i="5"/>
  <c r="AG10" i="5"/>
  <c r="AG11" i="5"/>
  <c r="AG12" i="5"/>
  <c r="AG13" i="5"/>
  <c r="AG14" i="5"/>
  <c r="AG15" i="5"/>
  <c r="AG16" i="5"/>
  <c r="AH10" i="5"/>
  <c r="AH11" i="5"/>
  <c r="AH12" i="5"/>
  <c r="AH13" i="5"/>
  <c r="AH14" i="5"/>
  <c r="AH15" i="5"/>
  <c r="AH16" i="5"/>
  <c r="AI10" i="5"/>
  <c r="AI11" i="5"/>
  <c r="AI12" i="5"/>
  <c r="AI13" i="5"/>
  <c r="AI14" i="5"/>
  <c r="AI15" i="5"/>
  <c r="AI16" i="5"/>
  <c r="AJ10" i="5"/>
  <c r="AJ11" i="5"/>
  <c r="AJ12" i="5"/>
  <c r="AJ13" i="5"/>
  <c r="AJ14" i="5"/>
  <c r="AJ15" i="5"/>
  <c r="AJ16" i="5"/>
  <c r="AK10" i="5"/>
  <c r="AK11" i="5"/>
  <c r="AK12" i="5"/>
  <c r="AK13" i="5"/>
  <c r="AK14" i="5"/>
  <c r="AK15" i="5"/>
  <c r="AK16" i="5"/>
  <c r="AL10" i="5"/>
  <c r="AL11" i="5"/>
  <c r="AL12" i="5"/>
  <c r="AL13" i="5"/>
  <c r="AL14" i="5"/>
  <c r="AL15" i="5"/>
  <c r="AL16" i="5"/>
  <c r="AM20" i="5"/>
  <c r="B5" i="4"/>
  <c r="O30" i="5"/>
  <c r="P30" i="5"/>
  <c r="Q30" i="5"/>
  <c r="R30" i="5"/>
  <c r="S30" i="5"/>
  <c r="T30" i="5"/>
  <c r="U30" i="5"/>
  <c r="V30" i="5"/>
  <c r="W30" i="5"/>
  <c r="X30" i="5"/>
  <c r="Y30" i="5"/>
  <c r="Z30" i="5"/>
  <c r="C26" i="7"/>
  <c r="C30" i="7"/>
  <c r="C28" i="7"/>
  <c r="C31" i="7"/>
  <c r="AA30" i="5"/>
  <c r="AB30" i="5"/>
  <c r="AC30" i="5"/>
  <c r="AD30" i="5"/>
  <c r="AE30" i="5"/>
  <c r="AF30" i="5"/>
  <c r="AG30" i="5"/>
  <c r="AH30" i="5"/>
  <c r="AI30" i="5"/>
  <c r="AJ30" i="5"/>
  <c r="AK30" i="5"/>
  <c r="AL30" i="5"/>
  <c r="O31" i="5"/>
  <c r="P31" i="5"/>
  <c r="Q31" i="5"/>
  <c r="R31" i="5"/>
  <c r="S31" i="5"/>
  <c r="T31" i="5"/>
  <c r="U31" i="5"/>
  <c r="V31" i="5"/>
  <c r="W31" i="5"/>
  <c r="X31" i="5"/>
  <c r="Y31" i="5"/>
  <c r="Z31" i="5"/>
  <c r="AA31" i="5"/>
  <c r="AB31" i="5"/>
  <c r="AC31" i="5"/>
  <c r="AD31" i="5"/>
  <c r="AE31" i="5"/>
  <c r="AF31" i="5"/>
  <c r="AG31" i="5"/>
  <c r="AH31" i="5"/>
  <c r="AI31" i="5"/>
  <c r="AJ31" i="5"/>
  <c r="AK31" i="5"/>
  <c r="AL31" i="5"/>
  <c r="O29" i="5"/>
  <c r="P29" i="5"/>
  <c r="Q29" i="5"/>
  <c r="R29" i="5"/>
  <c r="S29" i="5"/>
  <c r="T29" i="5"/>
  <c r="U29" i="5"/>
  <c r="V29" i="5"/>
  <c r="W29" i="5"/>
  <c r="X29" i="5"/>
  <c r="Y29" i="5"/>
  <c r="Z29" i="5"/>
  <c r="AA29" i="5"/>
  <c r="AB29" i="5"/>
  <c r="AC29" i="5"/>
  <c r="AD29" i="5"/>
  <c r="AE29" i="5"/>
  <c r="AF29" i="5"/>
  <c r="AG29" i="5"/>
  <c r="AH29" i="5"/>
  <c r="AI29" i="5"/>
  <c r="AJ29" i="5"/>
  <c r="AK29" i="5"/>
  <c r="AL29" i="5"/>
  <c r="D32" i="5"/>
  <c r="E32" i="5"/>
  <c r="F32" i="5"/>
  <c r="G32" i="5"/>
  <c r="H32" i="5"/>
  <c r="I32" i="5"/>
  <c r="J32"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D5" i="7"/>
  <c r="C32" i="5"/>
  <c r="B10" i="3"/>
  <c r="B8" i="3"/>
  <c r="D24" i="5"/>
  <c r="E24" i="5"/>
  <c r="F24" i="5"/>
  <c r="G24" i="5"/>
  <c r="H24" i="5"/>
  <c r="I24" i="5"/>
  <c r="J24" i="5"/>
  <c r="K24" i="5"/>
  <c r="L24" i="5"/>
  <c r="M24" i="5"/>
  <c r="N24" i="5"/>
  <c r="O24" i="5"/>
  <c r="P24" i="5"/>
  <c r="Q24" i="5"/>
  <c r="R24" i="5"/>
  <c r="S24" i="5"/>
  <c r="T24" i="5"/>
  <c r="U24" i="5"/>
  <c r="V24" i="5"/>
  <c r="W24" i="5"/>
  <c r="X24" i="5"/>
  <c r="Y24" i="5"/>
  <c r="Z24" i="5"/>
  <c r="AA24" i="5"/>
  <c r="AB24" i="5"/>
  <c r="AC24" i="5"/>
  <c r="AD24" i="5"/>
  <c r="AE24" i="5"/>
  <c r="AF24" i="5"/>
  <c r="AG24" i="5"/>
  <c r="AH24" i="5"/>
  <c r="AI24" i="5"/>
  <c r="AJ24" i="5"/>
  <c r="AK24" i="5"/>
  <c r="AL24" i="5"/>
  <c r="D25" i="5"/>
  <c r="C25" i="5"/>
  <c r="C24" i="5"/>
  <c r="B1" i="4"/>
  <c r="B24" i="5"/>
  <c r="B26" i="5"/>
  <c r="C26" i="5"/>
  <c r="D26" i="5"/>
  <c r="E25" i="5"/>
  <c r="E26" i="5"/>
  <c r="F25" i="5"/>
  <c r="F26" i="5"/>
  <c r="G25" i="5"/>
  <c r="G26" i="5"/>
  <c r="H25" i="5"/>
  <c r="H26" i="5"/>
  <c r="I25" i="5"/>
  <c r="I26" i="5"/>
  <c r="J25" i="5"/>
  <c r="J26" i="5"/>
  <c r="K25" i="5"/>
  <c r="K26" i="5"/>
  <c r="L25" i="5"/>
  <c r="L26" i="5"/>
  <c r="M25" i="5"/>
  <c r="M26" i="5"/>
  <c r="N25" i="5"/>
  <c r="N26" i="5"/>
  <c r="C12" i="7"/>
  <c r="C35" i="6"/>
  <c r="B11" i="9"/>
  <c r="C11" i="9"/>
  <c r="B12" i="9"/>
  <c r="C12" i="9"/>
  <c r="B13" i="9"/>
  <c r="C13" i="9"/>
  <c r="D14" i="9"/>
  <c r="B10" i="9"/>
  <c r="C10" i="9"/>
  <c r="B8" i="9"/>
  <c r="B27" i="4"/>
  <c r="C21" i="3"/>
  <c r="B2" i="9"/>
  <c r="B3" i="9"/>
  <c r="B4" i="9"/>
  <c r="B26" i="4"/>
  <c r="B5" i="3"/>
  <c r="B6" i="3"/>
  <c r="B5" i="9"/>
  <c r="B29" i="3"/>
  <c r="B6" i="9"/>
  <c r="Z27" i="5"/>
  <c r="AL27" i="5"/>
  <c r="C1" i="5"/>
  <c r="C9" i="8"/>
  <c r="D5" i="8"/>
  <c r="A2" i="8"/>
  <c r="C9" i="6"/>
  <c r="D5" i="6"/>
  <c r="A2" i="6"/>
  <c r="C15" i="7"/>
  <c r="C16" i="7"/>
  <c r="C20" i="7"/>
  <c r="C36" i="7"/>
  <c r="C37" i="7"/>
  <c r="O25" i="5"/>
  <c r="O26" i="5"/>
  <c r="P25" i="5"/>
  <c r="P26" i="5"/>
  <c r="Q25" i="5"/>
  <c r="Q26" i="5"/>
  <c r="R25" i="5"/>
  <c r="R26" i="5"/>
  <c r="S25" i="5"/>
  <c r="S26" i="5"/>
  <c r="T25" i="5"/>
  <c r="T26" i="5"/>
  <c r="U25" i="5"/>
  <c r="U26" i="5"/>
  <c r="V25" i="5"/>
  <c r="V26" i="5"/>
  <c r="W25" i="5"/>
  <c r="W26" i="5"/>
  <c r="X25" i="5"/>
  <c r="X26" i="5"/>
  <c r="Y25" i="5"/>
  <c r="Y26" i="5"/>
  <c r="Z25" i="5"/>
  <c r="Z26" i="5"/>
  <c r="AA25" i="5"/>
  <c r="AA26" i="5"/>
  <c r="AB25" i="5"/>
  <c r="AB26" i="5"/>
  <c r="AC25" i="5"/>
  <c r="AC26" i="5"/>
  <c r="AD25" i="5"/>
  <c r="AD26" i="5"/>
  <c r="AE25" i="5"/>
  <c r="AE26" i="5"/>
  <c r="AF25" i="5"/>
  <c r="AF26" i="5"/>
  <c r="AG25" i="5"/>
  <c r="AG26" i="5"/>
  <c r="AH25" i="5"/>
  <c r="AH26" i="5"/>
  <c r="AI25" i="5"/>
  <c r="AI26" i="5"/>
  <c r="AJ25" i="5"/>
  <c r="AJ26" i="5"/>
  <c r="AK25" i="5"/>
  <c r="AK26" i="5"/>
  <c r="AL25" i="5"/>
  <c r="AL26" i="5"/>
  <c r="C9" i="7"/>
  <c r="A2" i="7"/>
  <c r="AM6" i="5"/>
  <c r="AM8" i="5"/>
  <c r="B2" i="4"/>
  <c r="AM18" i="5"/>
  <c r="O1" i="5"/>
  <c r="AA1" i="5"/>
  <c r="B12" i="3"/>
  <c r="B13" i="3"/>
  <c r="B14" i="3"/>
  <c r="B15" i="3"/>
  <c r="B16" i="3"/>
  <c r="B17" i="3"/>
  <c r="B18" i="3"/>
  <c r="B19" i="3"/>
  <c r="B20" i="3"/>
  <c r="C22" i="3"/>
  <c r="B4" i="4"/>
  <c r="D13" i="3"/>
  <c r="D14" i="3"/>
  <c r="D15" i="3"/>
  <c r="D16" i="3"/>
  <c r="D17" i="3"/>
  <c r="D18" i="3"/>
  <c r="D19" i="3"/>
  <c r="D12" i="3"/>
  <c r="B1" i="3"/>
  <c r="D28" i="2"/>
</calcChain>
</file>

<file path=xl/comments1.xml><?xml version="1.0" encoding="utf-8"?>
<comments xmlns="http://schemas.openxmlformats.org/spreadsheetml/2006/main">
  <authors>
    <author>Andrew McKay</author>
  </authors>
  <commentList>
    <comment ref="N27" authorId="0">
      <text>
        <r>
          <rPr>
            <b/>
            <sz val="9"/>
            <color indexed="81"/>
            <rFont val="Calibri"/>
            <family val="2"/>
          </rPr>
          <t>Andrew McKay:</t>
        </r>
        <r>
          <rPr>
            <sz val="9"/>
            <color indexed="81"/>
            <rFont val="Calibri"/>
            <family val="2"/>
          </rPr>
          <t xml:space="preserve">
Does not include startup expenses, ie time 0.</t>
        </r>
      </text>
    </comment>
  </commentList>
</comments>
</file>

<file path=xl/comments2.xml><?xml version="1.0" encoding="utf-8"?>
<comments xmlns="http://schemas.openxmlformats.org/spreadsheetml/2006/main">
  <authors>
    <author>Andrew McKay</author>
  </authors>
  <commentList>
    <comment ref="C27" authorId="0">
      <text>
        <r>
          <rPr>
            <b/>
            <sz val="9"/>
            <color indexed="81"/>
            <rFont val="Calibri"/>
            <family val="2"/>
          </rPr>
          <t>Andrew McKay:</t>
        </r>
        <r>
          <rPr>
            <sz val="9"/>
            <color indexed="81"/>
            <rFont val="Calibri"/>
            <family val="2"/>
          </rPr>
          <t xml:space="preserve">
Adjusts for one time startup expenses, opening inventory, taxes, interest, etc.</t>
        </r>
      </text>
    </comment>
  </commentList>
</comments>
</file>

<file path=xl/comments3.xml><?xml version="1.0" encoding="utf-8"?>
<comments xmlns="http://schemas.openxmlformats.org/spreadsheetml/2006/main">
  <authors>
    <author>Andrew McKay</author>
  </authors>
  <commentList>
    <comment ref="C21" authorId="0">
      <text>
        <r>
          <rPr>
            <b/>
            <sz val="9"/>
            <color indexed="81"/>
            <rFont val="Calibri"/>
            <family val="2"/>
          </rPr>
          <t>Andrew McKay:</t>
        </r>
        <r>
          <rPr>
            <sz val="9"/>
            <color indexed="81"/>
            <rFont val="Calibri"/>
            <family val="2"/>
          </rPr>
          <t xml:space="preserve">
Buying initial inventory just prior to opening...</t>
        </r>
      </text>
    </comment>
  </commentList>
</comments>
</file>

<file path=xl/sharedStrings.xml><?xml version="1.0" encoding="utf-8"?>
<sst xmlns="http://schemas.openxmlformats.org/spreadsheetml/2006/main" count="213" uniqueCount="190">
  <si>
    <t>Business Name</t>
  </si>
  <si>
    <t>Example Inc.</t>
  </si>
  <si>
    <t>Current Fiscal Year</t>
  </si>
  <si>
    <t>Contributed Capital</t>
  </si>
  <si>
    <t>Yearly Expenses</t>
  </si>
  <si>
    <t>Year 1</t>
  </si>
  <si>
    <t>Year 2</t>
  </si>
  <si>
    <t>Year 3</t>
  </si>
  <si>
    <t>Monthly Expenses</t>
  </si>
  <si>
    <t>Tennant Improvements</t>
  </si>
  <si>
    <t>Equipment</t>
  </si>
  <si>
    <t>Furniture</t>
  </si>
  <si>
    <t>Permits</t>
  </si>
  <si>
    <t>Legal Expenses</t>
  </si>
  <si>
    <t>Initial Stock</t>
  </si>
  <si>
    <t>Grand Opening Promotion</t>
  </si>
  <si>
    <t>Cash On Hand Contingency Funds</t>
  </si>
  <si>
    <t>Consultant Fees</t>
  </si>
  <si>
    <t>Total Employee Compensation</t>
  </si>
  <si>
    <t>Rent</t>
  </si>
  <si>
    <t>Utilities</t>
  </si>
  <si>
    <t>Maintenance and Repairs</t>
  </si>
  <si>
    <t>Insurance</t>
  </si>
  <si>
    <t>Marketing Budget</t>
  </si>
  <si>
    <t>Additional Monthly Expenses</t>
  </si>
  <si>
    <t>Financing Shortfall</t>
  </si>
  <si>
    <t>Financing Needed</t>
  </si>
  <si>
    <t>Capital to be raised</t>
  </si>
  <si>
    <t>Percentage Debt Financing</t>
  </si>
  <si>
    <t>Percentage Equity Financing</t>
  </si>
  <si>
    <t>Term Loan Interest Rate</t>
  </si>
  <si>
    <t>per year</t>
  </si>
  <si>
    <t xml:space="preserve">Length of Term Loan </t>
  </si>
  <si>
    <t>in years</t>
  </si>
  <si>
    <t>Sales</t>
  </si>
  <si>
    <t>Average COGS</t>
  </si>
  <si>
    <t>Initial Monthly Sales Estimate</t>
  </si>
  <si>
    <t>Monthly Sales Growth</t>
  </si>
  <si>
    <t>Effective Annual Tax Rate</t>
  </si>
  <si>
    <t>Percentage of Company Sold to Investors</t>
  </si>
  <si>
    <t>Founder Ownership</t>
  </si>
  <si>
    <t>Number of Payment Periods</t>
  </si>
  <si>
    <t>Average Monthly Gross Revenue</t>
  </si>
  <si>
    <t>Maximum Monthly Debt Payment</t>
  </si>
  <si>
    <t>Monthly Break Even Sales</t>
  </si>
  <si>
    <t>Break Even Point Analysis</t>
  </si>
  <si>
    <t>Monthly Debt Servicing Cost</t>
  </si>
  <si>
    <t>Monthly Rent</t>
  </si>
  <si>
    <t>Monthly Utility Costs</t>
  </si>
  <si>
    <t>Monthly Maintenance and Repair Costs</t>
  </si>
  <si>
    <t>Monthly Insurance Costs</t>
  </si>
  <si>
    <t>Monthly Marketing Budget</t>
  </si>
  <si>
    <t>Sales Margin</t>
  </si>
  <si>
    <t>Needed Revenue</t>
  </si>
  <si>
    <t>Sales %</t>
  </si>
  <si>
    <t>Income</t>
  </si>
  <si>
    <t>COGS</t>
  </si>
  <si>
    <t>Expenses</t>
  </si>
  <si>
    <t>Total Expenses</t>
  </si>
  <si>
    <t>Total</t>
  </si>
  <si>
    <t>Maintenance &amp; Repairs</t>
  </si>
  <si>
    <t>Wages &amp; Benefits</t>
  </si>
  <si>
    <t>Marketing</t>
  </si>
  <si>
    <t>Misc. Expenses</t>
  </si>
  <si>
    <t>Interest Expense</t>
  </si>
  <si>
    <t>Cash Out</t>
  </si>
  <si>
    <t>Cash In</t>
  </si>
  <si>
    <t>Cash On Hand</t>
  </si>
  <si>
    <t>Actual Monthly Interest Rate</t>
  </si>
  <si>
    <t>Balance Sheet</t>
  </si>
  <si>
    <t>As At</t>
  </si>
  <si>
    <t>Unaudited</t>
  </si>
  <si>
    <t>ASSETS</t>
  </si>
  <si>
    <t>CURRENT</t>
  </si>
  <si>
    <t>Cash</t>
  </si>
  <si>
    <t>Accounts Receivable</t>
  </si>
  <si>
    <t>Deposits and Prepaid Expenses</t>
  </si>
  <si>
    <t>Inventory</t>
  </si>
  <si>
    <t>PROPERTY, PLANT, &amp; EQUIPMENT</t>
  </si>
  <si>
    <t>INVESTMENTS</t>
  </si>
  <si>
    <t>LIABILITIES</t>
  </si>
  <si>
    <t>Line of Credit</t>
  </si>
  <si>
    <t>Accounts Payable and Accrued Liabilities</t>
  </si>
  <si>
    <t>Long-term debt - current portion</t>
  </si>
  <si>
    <t>Income Tax Payable</t>
  </si>
  <si>
    <t>LONG-TERM DEBT</t>
  </si>
  <si>
    <t>SHAREHOLDER'S EQUITY</t>
  </si>
  <si>
    <t>RETAINED EARNINGS (DEFICIT)</t>
  </si>
  <si>
    <t>Amount Borrowed</t>
  </si>
  <si>
    <t>APPROVED</t>
  </si>
  <si>
    <t>Year 1 Pre-tax Income</t>
  </si>
  <si>
    <t>Year 2 Pre-tax Income</t>
  </si>
  <si>
    <t>Year 3 Pre-tax Income</t>
  </si>
  <si>
    <t>Statement of Income and Retained Earnings</t>
  </si>
  <si>
    <t>For The Year Ended</t>
  </si>
  <si>
    <t>UNAUDITED</t>
  </si>
  <si>
    <t>REVENUE</t>
  </si>
  <si>
    <t>COST OF SALES</t>
  </si>
  <si>
    <t>Opening Inventory</t>
  </si>
  <si>
    <t>Purchases</t>
  </si>
  <si>
    <t>Closing Inventory</t>
  </si>
  <si>
    <t>GROSS PROFIT</t>
  </si>
  <si>
    <t>OPERATING EXPENSES</t>
  </si>
  <si>
    <t>INCOME FROM OPERATIONS</t>
  </si>
  <si>
    <t>OTHER INCOME (EXPENSES)</t>
  </si>
  <si>
    <t xml:space="preserve">Loss on disposal of property, plant and equipment </t>
  </si>
  <si>
    <t>Gain on sale of investment</t>
  </si>
  <si>
    <t xml:space="preserve">Miscellaneous </t>
  </si>
  <si>
    <t>NET INCOME BEFORE TAXES</t>
  </si>
  <si>
    <t>INCOME TAX EXPENSE</t>
  </si>
  <si>
    <t>NET INCOME</t>
  </si>
  <si>
    <t>(DEFICIT) - Beginning of Year</t>
  </si>
  <si>
    <t>DIVIDENDS</t>
  </si>
  <si>
    <t>RETAINED EARNINGS (DEFICIT) - End of Year</t>
  </si>
  <si>
    <t>Statement of Cash Flow</t>
  </si>
  <si>
    <t>For the Year Ended</t>
  </si>
  <si>
    <t>CASH FLOWS FROM OPERATING ACTIVITES</t>
  </si>
  <si>
    <t>Net income for the year</t>
  </si>
  <si>
    <t xml:space="preserve">Adjustment for: </t>
  </si>
  <si>
    <t xml:space="preserve">Amortization </t>
  </si>
  <si>
    <t xml:space="preserve">Gain on disposal of investment </t>
  </si>
  <si>
    <t xml:space="preserve">Cash derived from operations </t>
  </si>
  <si>
    <t>Decrease (increase) in working capital items</t>
  </si>
  <si>
    <t>Accounts receivable</t>
  </si>
  <si>
    <t>Deposits and prepaid expenses</t>
  </si>
  <si>
    <t xml:space="preserve">Inventory </t>
  </si>
  <si>
    <t xml:space="preserve">Accounts payable and accrued liabilities </t>
  </si>
  <si>
    <t xml:space="preserve">Income tax payable </t>
  </si>
  <si>
    <t>Cash flows from operating activities</t>
  </si>
  <si>
    <t>Amount Due To Shareholders</t>
  </si>
  <si>
    <t>CASH FLOWS FROM INVESTING ACTIVITIES</t>
  </si>
  <si>
    <t>Acquisition of property, plant and equipment</t>
  </si>
  <si>
    <t xml:space="preserve">Proceeds from disposal of property, plant and equipment </t>
  </si>
  <si>
    <t>Proceeds from disposal of investment</t>
  </si>
  <si>
    <t xml:space="preserve">Dividends </t>
  </si>
  <si>
    <t>Cash flows from investing activities</t>
  </si>
  <si>
    <t>CASH FLOWS FROM FINANCING ACTIVITIES</t>
  </si>
  <si>
    <t xml:space="preserve">Advances from (repayments to) shareholder </t>
  </si>
  <si>
    <t xml:space="preserve">Acquisition of (repayment of) long-term debt </t>
  </si>
  <si>
    <t>NET INCREASE (DECREASE) IN CASH RESOURCES</t>
  </si>
  <si>
    <t>CASH (DEFICIENCY) RESOURCES - Beginning of Year</t>
  </si>
  <si>
    <t>CASH RESOURCES (DEFICIENCY) - End of Year</t>
  </si>
  <si>
    <t>Income Before Taxes</t>
  </si>
  <si>
    <t>Total Estimated Market Size</t>
  </si>
  <si>
    <t>Company Valuation</t>
  </si>
  <si>
    <t>Years to Exit</t>
  </si>
  <si>
    <t>Compareable P/E</t>
  </si>
  <si>
    <t>Desired IRR</t>
  </si>
  <si>
    <t>Desired Equity Investment</t>
  </si>
  <si>
    <t>Currently Issued Shares</t>
  </si>
  <si>
    <t>Capitalization Rate</t>
  </si>
  <si>
    <t>Venture Capital Valuation Method</t>
  </si>
  <si>
    <t>Terminal Net Income</t>
  </si>
  <si>
    <t>Terminal Value</t>
  </si>
  <si>
    <t>Estimated PV of Company</t>
  </si>
  <si>
    <t>Shares to Issue to Investor</t>
  </si>
  <si>
    <t>Share Price</t>
  </si>
  <si>
    <t>Discount Cash Flow Valuation</t>
  </si>
  <si>
    <t>DCF Valuation Method</t>
  </si>
  <si>
    <t>DCF NPV</t>
  </si>
  <si>
    <t>Year</t>
  </si>
  <si>
    <t>PV of Cash Flow</t>
  </si>
  <si>
    <t>Residual</t>
  </si>
  <si>
    <t>Income From Operations</t>
  </si>
  <si>
    <t>Venture Capitalist Valuation</t>
  </si>
  <si>
    <t>CURRENT LIABILITIES</t>
  </si>
  <si>
    <t>CONTRIBUTED CAPITAL</t>
  </si>
  <si>
    <t>Total Cash Value of Loan</t>
  </si>
  <si>
    <t>Principal Payment</t>
  </si>
  <si>
    <t>Interest Payment</t>
  </si>
  <si>
    <t>Total Loan Payment</t>
  </si>
  <si>
    <t>Loan Principal Balance</t>
  </si>
  <si>
    <t>Average Monthly Pre-Tax Income</t>
  </si>
  <si>
    <t>Taxes Due</t>
  </si>
  <si>
    <t>Assets</t>
  </si>
  <si>
    <t>Liabilities</t>
  </si>
  <si>
    <t>Share Holders Equity</t>
  </si>
  <si>
    <t>Debt</t>
  </si>
  <si>
    <t>Legal</t>
  </si>
  <si>
    <t>Consultants</t>
  </si>
  <si>
    <t>Wages</t>
  </si>
  <si>
    <t>Maintenance</t>
  </si>
  <si>
    <t>Tax</t>
  </si>
  <si>
    <t>Revenue</t>
  </si>
  <si>
    <t>Start Up Costs</t>
  </si>
  <si>
    <t>Debt Servicing</t>
  </si>
  <si>
    <t>Average Monthly Wages and Benefits</t>
  </si>
  <si>
    <t>Startup Costs</t>
  </si>
  <si>
    <t>Share Holder's Equity</t>
  </si>
  <si>
    <t>Percentage of Market to be Captured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</si>
</sst>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quot;$&quot;#,##0.00"/>
    <numFmt numFmtId="165" formatCode="[$-1009]mmmm\ d\,\ yyyy;@"/>
    <numFmt numFmtId="166" formatCode="_(&quot;$&quot;* #,##0_);_(&quot;$&quot;* \(#,##0\);_(&quot;$&quot;* &quot;-&quot;??_);_(@_)"/>
    <numFmt numFmtId="167" formatCode="_(* #,##0_);_(* \(#,##0\);_(* &quot;-&quot;??_);_(@_)"/>
  </numFmts>
  <fonts count="17" x14ac:knownFonts="1">
    <font>
      <sz val="12"/>
      <color theme="1"/>
      <name val="Calibri"/>
      <family val="2"/>
      <scheme val="minor"/>
    </font>
    <font>
      <b/>
      <sz val="12"/>
      <color theme="1"/>
      <name val="Calibri"/>
      <family val="2"/>
      <scheme val="minor"/>
    </font>
    <font>
      <b/>
      <sz val="14"/>
      <color theme="1"/>
      <name val="Calibri"/>
      <scheme val="minor"/>
    </font>
    <font>
      <sz val="14"/>
      <color theme="1"/>
      <name val="Calibri"/>
      <scheme val="minor"/>
    </font>
    <font>
      <b/>
      <sz val="16"/>
      <color theme="1"/>
      <name val="Calibri"/>
      <scheme val="minor"/>
    </font>
    <font>
      <sz val="8"/>
      <name val="Calibri"/>
      <family val="2"/>
      <scheme val="minor"/>
    </font>
    <font>
      <u/>
      <sz val="12"/>
      <color theme="10"/>
      <name val="Calibri"/>
      <family val="2"/>
      <scheme val="minor"/>
    </font>
    <font>
      <u/>
      <sz val="12"/>
      <color theme="11"/>
      <name val="Calibri"/>
      <family val="2"/>
      <scheme val="minor"/>
    </font>
    <font>
      <i/>
      <sz val="12"/>
      <color theme="1"/>
      <name val="Calibri"/>
      <scheme val="minor"/>
    </font>
    <font>
      <sz val="9"/>
      <color theme="1"/>
      <name val="Calibri"/>
      <scheme val="minor"/>
    </font>
    <font>
      <u/>
      <sz val="12"/>
      <color theme="1"/>
      <name val="Calibri"/>
      <scheme val="minor"/>
    </font>
    <font>
      <b/>
      <u/>
      <sz val="12"/>
      <color theme="1"/>
      <name val="Calibri"/>
      <scheme val="minor"/>
    </font>
    <font>
      <b/>
      <sz val="10"/>
      <name val="Verdana"/>
    </font>
    <font>
      <sz val="10"/>
      <name val="Verdana"/>
    </font>
    <font>
      <sz val="10"/>
      <color theme="1"/>
      <name val="Calibri"/>
      <scheme val="minor"/>
    </font>
    <font>
      <sz val="9"/>
      <color indexed="81"/>
      <name val="Calibri"/>
      <family val="2"/>
    </font>
    <font>
      <b/>
      <sz val="9"/>
      <color indexed="81"/>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lightTrellis"/>
    </fill>
  </fills>
  <borders count="21">
    <border>
      <left/>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double">
        <color auto="1"/>
      </bottom>
      <diagonal/>
    </border>
    <border>
      <left/>
      <right/>
      <top style="thin">
        <color auto="1"/>
      </top>
      <bottom style="thin">
        <color auto="1"/>
      </bottom>
      <diagonal/>
    </border>
    <border>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s>
  <cellStyleXfs count="1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55">
    <xf numFmtId="0" fontId="0" fillId="0" borderId="0" xfId="0"/>
    <xf numFmtId="0" fontId="1" fillId="0" borderId="0" xfId="0" applyFont="1"/>
    <xf numFmtId="0" fontId="2" fillId="0" borderId="0" xfId="0" applyFont="1"/>
    <xf numFmtId="0" fontId="3" fillId="0" borderId="0" xfId="0" applyFont="1"/>
    <xf numFmtId="164" fontId="0" fillId="0" borderId="0" xfId="0" applyNumberFormat="1"/>
    <xf numFmtId="6" fontId="0" fillId="0" borderId="0" xfId="0" applyNumberFormat="1"/>
    <xf numFmtId="0" fontId="1" fillId="0" borderId="0" xfId="0" applyFont="1" applyAlignment="1">
      <alignment horizontal="center"/>
    </xf>
    <xf numFmtId="164" fontId="2" fillId="0" borderId="0" xfId="0" applyNumberFormat="1" applyFont="1"/>
    <xf numFmtId="0" fontId="3" fillId="0" borderId="0" xfId="0" applyFont="1"/>
    <xf numFmtId="0" fontId="4" fillId="0" borderId="0" xfId="0" applyFont="1" applyAlignment="1">
      <alignment horizontal="center"/>
    </xf>
    <xf numFmtId="0" fontId="3" fillId="2" borderId="0" xfId="0" applyFont="1" applyFill="1"/>
    <xf numFmtId="164" fontId="0" fillId="2" borderId="0" xfId="0" applyNumberFormat="1" applyFill="1"/>
    <xf numFmtId="6" fontId="0" fillId="2" borderId="0" xfId="0" applyNumberFormat="1" applyFill="1"/>
    <xf numFmtId="164" fontId="0" fillId="2" borderId="0" xfId="0" applyNumberFormat="1" applyFont="1" applyFill="1"/>
    <xf numFmtId="9" fontId="0" fillId="0" borderId="0" xfId="0" applyNumberFormat="1"/>
    <xf numFmtId="9" fontId="0" fillId="3" borderId="0" xfId="0" applyNumberFormat="1" applyFill="1"/>
    <xf numFmtId="164" fontId="0" fillId="0" borderId="0" xfId="0" applyNumberFormat="1" applyFont="1" applyFill="1"/>
    <xf numFmtId="10" fontId="0" fillId="0" borderId="0" xfId="0" applyNumberFormat="1"/>
    <xf numFmtId="164" fontId="3" fillId="0" borderId="0" xfId="0" applyNumberFormat="1" applyFont="1"/>
    <xf numFmtId="10" fontId="0" fillId="3" borderId="0" xfId="0" applyNumberFormat="1" applyFill="1"/>
    <xf numFmtId="164" fontId="0" fillId="0" borderId="1" xfId="0" applyNumberFormat="1" applyBorder="1"/>
    <xf numFmtId="0" fontId="0" fillId="0" borderId="5" xfId="0" applyBorder="1"/>
    <xf numFmtId="164" fontId="0" fillId="0" borderId="0" xfId="0" applyNumberFormat="1" applyBorder="1"/>
    <xf numFmtId="0" fontId="0" fillId="0" borderId="0" xfId="0" applyBorder="1"/>
    <xf numFmtId="10" fontId="0" fillId="0" borderId="6" xfId="0" applyNumberFormat="1" applyBorder="1"/>
    <xf numFmtId="9" fontId="0" fillId="0" borderId="7" xfId="0" applyNumberFormat="1" applyBorder="1"/>
    <xf numFmtId="0" fontId="1" fillId="0" borderId="0" xfId="0" applyFont="1" applyBorder="1"/>
    <xf numFmtId="0" fontId="0" fillId="0" borderId="6" xfId="0" applyBorder="1"/>
    <xf numFmtId="0" fontId="0" fillId="0" borderId="8" xfId="0" applyBorder="1"/>
    <xf numFmtId="0" fontId="1" fillId="0" borderId="9" xfId="0" applyFont="1" applyBorder="1"/>
    <xf numFmtId="0" fontId="0" fillId="0" borderId="10" xfId="0" applyBorder="1"/>
    <xf numFmtId="10" fontId="0" fillId="0" borderId="0" xfId="0" applyNumberFormat="1" applyBorder="1"/>
    <xf numFmtId="164" fontId="0" fillId="0" borderId="9" xfId="0" applyNumberFormat="1" applyBorder="1"/>
    <xf numFmtId="0" fontId="9" fillId="0" borderId="0" xfId="0" applyFont="1"/>
    <xf numFmtId="0" fontId="0" fillId="0" borderId="0" xfId="0" applyFont="1"/>
    <xf numFmtId="0" fontId="4" fillId="0" borderId="0" xfId="0" applyFont="1"/>
    <xf numFmtId="9" fontId="9" fillId="0" borderId="0" xfId="0" applyNumberFormat="1" applyFont="1" applyBorder="1"/>
    <xf numFmtId="9" fontId="9" fillId="0" borderId="5" xfId="0" applyNumberFormat="1" applyFont="1" applyBorder="1"/>
    <xf numFmtId="9" fontId="9" fillId="0" borderId="6" xfId="0" applyNumberFormat="1" applyFont="1" applyBorder="1"/>
    <xf numFmtId="164" fontId="0" fillId="0" borderId="5" xfId="0" applyNumberFormat="1" applyBorder="1"/>
    <xf numFmtId="164" fontId="0" fillId="0" borderId="6" xfId="0" applyNumberFormat="1" applyBorder="1"/>
    <xf numFmtId="164" fontId="0" fillId="0" borderId="11" xfId="0" applyNumberFormat="1" applyBorder="1"/>
    <xf numFmtId="164" fontId="0" fillId="0" borderId="7" xfId="0" applyNumberFormat="1" applyBorder="1"/>
    <xf numFmtId="164" fontId="0" fillId="0" borderId="12" xfId="0" applyNumberFormat="1" applyBorder="1"/>
    <xf numFmtId="164" fontId="0" fillId="0" borderId="13" xfId="0" applyNumberFormat="1" applyBorder="1"/>
    <xf numFmtId="164" fontId="0" fillId="0" borderId="14" xfId="0" applyNumberFormat="1" applyBorder="1"/>
    <xf numFmtId="164" fontId="1" fillId="0" borderId="0" xfId="0" applyNumberFormat="1" applyFont="1"/>
    <xf numFmtId="2" fontId="0" fillId="0" borderId="0" xfId="0" applyNumberFormat="1"/>
    <xf numFmtId="0" fontId="0" fillId="0" borderId="0" xfId="0" applyAlignment="1">
      <alignment horizontal="center" vertical="center"/>
    </xf>
    <xf numFmtId="0" fontId="10" fillId="0" borderId="0" xfId="0" applyFont="1" applyAlignment="1">
      <alignment horizontal="center"/>
    </xf>
    <xf numFmtId="0" fontId="0" fillId="0" borderId="0" xfId="0"/>
    <xf numFmtId="44" fontId="0" fillId="0" borderId="0" xfId="0" applyNumberFormat="1"/>
    <xf numFmtId="43" fontId="0" fillId="0" borderId="0" xfId="0" applyNumberFormat="1"/>
    <xf numFmtId="166" fontId="0" fillId="0" borderId="0" xfId="0" applyNumberFormat="1"/>
    <xf numFmtId="41" fontId="0" fillId="0" borderId="0" xfId="0" applyNumberFormat="1"/>
    <xf numFmtId="41" fontId="0" fillId="0" borderId="15" xfId="0" applyNumberFormat="1" applyBorder="1"/>
    <xf numFmtId="41" fontId="0" fillId="0" borderId="1" xfId="0" applyNumberFormat="1" applyBorder="1"/>
    <xf numFmtId="41" fontId="0" fillId="0" borderId="16" xfId="0" applyNumberFormat="1" applyBorder="1"/>
    <xf numFmtId="44" fontId="2" fillId="0" borderId="0" xfId="0" applyNumberFormat="1" applyFont="1"/>
    <xf numFmtId="0" fontId="0" fillId="0" borderId="0" xfId="0"/>
    <xf numFmtId="41" fontId="0" fillId="0" borderId="0" xfId="0" applyNumberFormat="1" applyBorder="1"/>
    <xf numFmtId="44" fontId="0" fillId="0" borderId="0" xfId="0" applyNumberFormat="1" applyBorder="1"/>
    <xf numFmtId="43" fontId="0" fillId="0" borderId="0" xfId="0" applyNumberFormat="1" applyBorder="1"/>
    <xf numFmtId="41" fontId="0" fillId="0" borderId="0" xfId="0" applyNumberFormat="1" applyFill="1" applyBorder="1"/>
    <xf numFmtId="43" fontId="0" fillId="0" borderId="0" xfId="0" applyNumberFormat="1" applyFill="1" applyBorder="1"/>
    <xf numFmtId="41" fontId="0" fillId="0" borderId="17" xfId="0" applyNumberFormat="1" applyFill="1" applyBorder="1"/>
    <xf numFmtId="164" fontId="0" fillId="0" borderId="5" xfId="0" applyNumberFormat="1" applyFont="1" applyBorder="1"/>
    <xf numFmtId="164" fontId="0" fillId="0" borderId="0" xfId="0" applyNumberFormat="1" applyFont="1" applyBorder="1"/>
    <xf numFmtId="164" fontId="0" fillId="0" borderId="6" xfId="0" applyNumberFormat="1" applyFont="1" applyBorder="1"/>
    <xf numFmtId="164" fontId="0" fillId="0" borderId="0" xfId="0" applyNumberFormat="1" applyFont="1"/>
    <xf numFmtId="0" fontId="1" fillId="0" borderId="0" xfId="0" applyFont="1"/>
    <xf numFmtId="0" fontId="2" fillId="0" borderId="0" xfId="0" applyFont="1"/>
    <xf numFmtId="166" fontId="0" fillId="0" borderId="17" xfId="0" applyNumberFormat="1" applyBorder="1"/>
    <xf numFmtId="41" fontId="0" fillId="0" borderId="17" xfId="0" applyNumberFormat="1" applyBorder="1"/>
    <xf numFmtId="166" fontId="0" fillId="0" borderId="15" xfId="0" applyNumberFormat="1" applyBorder="1"/>
    <xf numFmtId="0" fontId="1" fillId="0" borderId="5" xfId="0" applyFont="1" applyBorder="1"/>
    <xf numFmtId="164" fontId="0" fillId="3" borderId="6" xfId="0" applyNumberFormat="1" applyFill="1" applyBorder="1"/>
    <xf numFmtId="9" fontId="0" fillId="3" borderId="6" xfId="0" applyNumberFormat="1" applyFill="1" applyBorder="1"/>
    <xf numFmtId="0" fontId="0" fillId="3" borderId="6" xfId="0" applyFill="1" applyBorder="1"/>
    <xf numFmtId="0" fontId="1" fillId="0" borderId="8" xfId="0" applyFont="1" applyBorder="1"/>
    <xf numFmtId="9" fontId="0" fillId="3" borderId="10" xfId="0" applyNumberFormat="1" applyFill="1" applyBorder="1"/>
    <xf numFmtId="0" fontId="1" fillId="0" borderId="0" xfId="0" applyFont="1"/>
    <xf numFmtId="164" fontId="2" fillId="0" borderId="5" xfId="0" applyNumberFormat="1" applyFont="1" applyBorder="1"/>
    <xf numFmtId="167" fontId="0" fillId="0" borderId="0" xfId="0" applyNumberFormat="1"/>
    <xf numFmtId="0" fontId="13" fillId="0" borderId="5" xfId="0" applyFont="1" applyBorder="1"/>
    <xf numFmtId="1" fontId="0" fillId="0" borderId="6" xfId="0" applyNumberFormat="1" applyBorder="1"/>
    <xf numFmtId="0" fontId="12" fillId="0" borderId="0" xfId="0" applyFont="1" applyBorder="1" applyAlignment="1">
      <alignment horizontal="center"/>
    </xf>
    <xf numFmtId="0" fontId="0" fillId="0" borderId="3" xfId="0" applyBorder="1"/>
    <xf numFmtId="0" fontId="0" fillId="0" borderId="4" xfId="0" applyBorder="1"/>
    <xf numFmtId="0" fontId="12" fillId="0" borderId="5" xfId="0" applyFont="1" applyBorder="1" applyAlignment="1">
      <alignment horizontal="center"/>
    </xf>
    <xf numFmtId="0" fontId="12" fillId="0" borderId="0" xfId="0" applyFont="1" applyBorder="1"/>
    <xf numFmtId="0" fontId="12" fillId="0" borderId="6" xfId="0" applyFont="1" applyBorder="1" applyAlignment="1">
      <alignment horizontal="center"/>
    </xf>
    <xf numFmtId="0" fontId="13" fillId="0" borderId="5" xfId="0" applyFont="1" applyBorder="1" applyAlignment="1">
      <alignment horizontal="center"/>
    </xf>
    <xf numFmtId="164" fontId="13" fillId="0" borderId="0" xfId="0" applyNumberFormat="1" applyFont="1" applyBorder="1"/>
    <xf numFmtId="0" fontId="0" fillId="0" borderId="5" xfId="0" applyBorder="1" applyAlignment="1">
      <alignment horizontal="center"/>
    </xf>
    <xf numFmtId="0" fontId="0" fillId="0" borderId="8" xfId="0" applyBorder="1" applyAlignment="1">
      <alignment horizontal="center"/>
    </xf>
    <xf numFmtId="164" fontId="0" fillId="0" borderId="9" xfId="0" applyNumberFormat="1" applyFont="1" applyBorder="1"/>
    <xf numFmtId="164" fontId="13" fillId="0" borderId="0" xfId="0" applyNumberFormat="1" applyFont="1" applyBorder="1" applyAlignment="1">
      <alignment horizontal="right"/>
    </xf>
    <xf numFmtId="164" fontId="13" fillId="0" borderId="10" xfId="0" applyNumberFormat="1" applyFont="1" applyBorder="1" applyAlignment="1">
      <alignment horizontal="center"/>
    </xf>
    <xf numFmtId="0" fontId="0" fillId="0" borderId="0" xfId="0" applyFont="1" applyAlignment="1">
      <alignment horizontal="left"/>
    </xf>
    <xf numFmtId="8" fontId="0" fillId="0" borderId="0" xfId="0" applyNumberFormat="1"/>
    <xf numFmtId="0" fontId="14" fillId="0" borderId="0" xfId="0" applyFont="1"/>
    <xf numFmtId="0" fontId="14" fillId="0" borderId="0" xfId="0" applyFont="1" applyAlignment="1">
      <alignment horizontal="center" vertical="center"/>
    </xf>
    <xf numFmtId="0" fontId="0" fillId="0" borderId="0" xfId="0" applyFont="1" applyAlignment="1">
      <alignment horizontal="center" vertical="center"/>
    </xf>
    <xf numFmtId="0" fontId="0" fillId="0" borderId="5" xfId="0" applyFont="1" applyBorder="1" applyAlignment="1">
      <alignment horizontal="center"/>
    </xf>
    <xf numFmtId="0" fontId="0" fillId="0" borderId="0" xfId="0" applyFont="1" applyBorder="1" applyAlignment="1">
      <alignment horizontal="center"/>
    </xf>
    <xf numFmtId="0" fontId="0" fillId="0" borderId="6" xfId="0" applyFont="1" applyBorder="1" applyAlignment="1">
      <alignment horizontal="center"/>
    </xf>
    <xf numFmtId="0" fontId="14" fillId="0" borderId="5" xfId="0" applyFont="1" applyBorder="1" applyAlignment="1">
      <alignment horizontal="center"/>
    </xf>
    <xf numFmtId="0" fontId="14" fillId="0" borderId="0" xfId="0" applyFont="1" applyBorder="1" applyAlignment="1">
      <alignment horizontal="center"/>
    </xf>
    <xf numFmtId="0" fontId="14" fillId="0" borderId="6" xfId="0" applyFont="1" applyBorder="1" applyAlignment="1">
      <alignment horizontal="center"/>
    </xf>
    <xf numFmtId="164" fontId="2" fillId="0" borderId="11" xfId="0" applyNumberFormat="1" applyFont="1" applyBorder="1"/>
    <xf numFmtId="164" fontId="2" fillId="0" borderId="1" xfId="0" applyNumberFormat="1" applyFont="1" applyBorder="1"/>
    <xf numFmtId="164" fontId="2" fillId="0" borderId="7" xfId="0" applyNumberFormat="1" applyFont="1" applyBorder="1"/>
    <xf numFmtId="164" fontId="1" fillId="0" borderId="5" xfId="0" applyNumberFormat="1" applyFont="1" applyBorder="1"/>
    <xf numFmtId="164" fontId="1" fillId="0" borderId="0" xfId="0" applyNumberFormat="1" applyFont="1" applyBorder="1"/>
    <xf numFmtId="164" fontId="1" fillId="0" borderId="6" xfId="0" applyNumberFormat="1" applyFont="1" applyBorder="1"/>
    <xf numFmtId="0" fontId="1" fillId="0" borderId="2" xfId="0" applyFont="1" applyBorder="1"/>
    <xf numFmtId="0" fontId="0" fillId="4" borderId="0" xfId="0" applyFill="1"/>
    <xf numFmtId="0" fontId="0" fillId="0" borderId="9" xfId="0" applyBorder="1" applyAlignment="1">
      <alignment horizontal="center"/>
    </xf>
    <xf numFmtId="0" fontId="0" fillId="0" borderId="10" xfId="0" applyBorder="1" applyAlignment="1">
      <alignment horizontal="center"/>
    </xf>
    <xf numFmtId="0" fontId="0" fillId="0" borderId="19" xfId="0" applyBorder="1" applyAlignment="1">
      <alignment horizontal="center"/>
    </xf>
    <xf numFmtId="0" fontId="0" fillId="0" borderId="9" xfId="0" applyBorder="1" applyAlignment="1">
      <alignment horizontal="center" wrapText="1"/>
    </xf>
    <xf numFmtId="0" fontId="0" fillId="0" borderId="19" xfId="0" applyBorder="1" applyAlignment="1">
      <alignment horizontal="center" wrapText="1"/>
    </xf>
    <xf numFmtId="0" fontId="0" fillId="0" borderId="10" xfId="0" applyBorder="1" applyAlignment="1">
      <alignment horizontal="center" wrapText="1"/>
    </xf>
    <xf numFmtId="43" fontId="0" fillId="0" borderId="6" xfId="0" applyNumberFormat="1" applyBorder="1"/>
    <xf numFmtId="43" fontId="0" fillId="0" borderId="18" xfId="0" applyNumberFormat="1" applyBorder="1"/>
    <xf numFmtId="43" fontId="0" fillId="0" borderId="1" xfId="0" applyNumberFormat="1" applyBorder="1"/>
    <xf numFmtId="43" fontId="0" fillId="0" borderId="7" xfId="0" applyNumberFormat="1" applyBorder="1"/>
    <xf numFmtId="43" fontId="0" fillId="0" borderId="20" xfId="0" applyNumberFormat="1" applyBorder="1"/>
    <xf numFmtId="43" fontId="0" fillId="0" borderId="4" xfId="0" applyNumberFormat="1" applyBorder="1"/>
    <xf numFmtId="43" fontId="0" fillId="0" borderId="14" xfId="0" applyNumberFormat="1" applyBorder="1"/>
    <xf numFmtId="0" fontId="0" fillId="0" borderId="0" xfId="0" applyFont="1"/>
    <xf numFmtId="0" fontId="4" fillId="0" borderId="0" xfId="0" applyFont="1" applyAlignment="1">
      <alignment horizontal="center"/>
    </xf>
    <xf numFmtId="0" fontId="3" fillId="2" borderId="0" xfId="0" applyFont="1" applyFill="1"/>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3" xfId="0" applyFont="1" applyBorder="1"/>
    <xf numFmtId="0" fontId="0" fillId="0" borderId="0" xfId="0" applyAlignment="1">
      <alignment horizontal="center"/>
    </xf>
    <xf numFmtId="0" fontId="0" fillId="0" borderId="0" xfId="0" applyFont="1" applyAlignment="1">
      <alignment horizontal="left"/>
    </xf>
    <xf numFmtId="0" fontId="11" fillId="0" borderId="0" xfId="0" applyFont="1" applyAlignment="1">
      <alignment horizontal="center"/>
    </xf>
    <xf numFmtId="165" fontId="0" fillId="0" borderId="0" xfId="0" applyNumberFormat="1" applyAlignment="1">
      <alignment horizontal="center"/>
    </xf>
    <xf numFmtId="1" fontId="0" fillId="0" borderId="0" xfId="0" applyNumberFormat="1" applyAlignment="1">
      <alignment horizontal="left"/>
    </xf>
    <xf numFmtId="0" fontId="0" fillId="0" borderId="0" xfId="0" applyFont="1" applyAlignment="1">
      <alignment horizontal="center"/>
    </xf>
    <xf numFmtId="0" fontId="0" fillId="0" borderId="17" xfId="0" applyFont="1" applyBorder="1"/>
    <xf numFmtId="0" fontId="0" fillId="0" borderId="0" xfId="0" applyFont="1"/>
    <xf numFmtId="0" fontId="1" fillId="0" borderId="0" xfId="0" applyFont="1" applyFill="1" applyBorder="1"/>
    <xf numFmtId="0" fontId="1" fillId="0" borderId="0" xfId="0" applyFont="1"/>
    <xf numFmtId="22"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0" fontId="14" fillId="0" borderId="0" xfId="0" applyFont="1"/>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manualLayout>
          <c:layoutTarget val="inner"/>
          <c:xMode val="edge"/>
          <c:yMode val="edge"/>
          <c:x val="0.123308550185874"/>
          <c:y val="0.159798390585792"/>
          <c:w val="0.374256651933378"/>
          <c:h val="0.737546075971273"/>
        </c:manualLayout>
      </c:layout>
      <c:pieChart>
        <c:varyColors val="1"/>
        <c:ser>
          <c:idx val="0"/>
          <c:order val="0"/>
          <c:tx>
            <c:v>Monthly Costs</c:v>
          </c:tx>
          <c:dLbls>
            <c:showLegendKey val="0"/>
            <c:showVal val="0"/>
            <c:showCatName val="0"/>
            <c:showSerName val="0"/>
            <c:showPercent val="1"/>
            <c:showBubbleSize val="0"/>
            <c:showLeaderLines val="1"/>
          </c:dLbls>
          <c:cat>
            <c:strRef>
              <c:f>'Master Control'!$A$12:$A$19</c:f>
              <c:strCache>
                <c:ptCount val="8"/>
                <c:pt idx="0">
                  <c:v>Monthly Rent</c:v>
                </c:pt>
                <c:pt idx="1">
                  <c:v>Monthly Utility Costs</c:v>
                </c:pt>
                <c:pt idx="2">
                  <c:v>Monthly Maintenance and Repair Costs</c:v>
                </c:pt>
                <c:pt idx="3">
                  <c:v>Monthly Insurance Costs</c:v>
                </c:pt>
                <c:pt idx="4">
                  <c:v>Average Monthly Wages and Benefits</c:v>
                </c:pt>
                <c:pt idx="5">
                  <c:v>Monthly Marketing Budget</c:v>
                </c:pt>
                <c:pt idx="6">
                  <c:v>Additional Monthly Expenses</c:v>
                </c:pt>
                <c:pt idx="7">
                  <c:v>Monthly Debt Servicing Cost</c:v>
                </c:pt>
              </c:strCache>
            </c:strRef>
          </c:cat>
          <c:val>
            <c:numRef>
              <c:f>'Master Control'!$D$12:$D$19</c:f>
              <c:numCache>
                <c:formatCode>0.00%</c:formatCode>
                <c:ptCount val="8"/>
                <c:pt idx="0">
                  <c:v>0.368003898256976</c:v>
                </c:pt>
                <c:pt idx="1">
                  <c:v>0.0736007796513952</c:v>
                </c:pt>
                <c:pt idx="2">
                  <c:v>0.0184001949128488</c:v>
                </c:pt>
                <c:pt idx="3">
                  <c:v>0.0101201072020668</c:v>
                </c:pt>
                <c:pt idx="4">
                  <c:v>0.306669915214147</c:v>
                </c:pt>
                <c:pt idx="5">
                  <c:v>0.092000974564244</c:v>
                </c:pt>
                <c:pt idx="6">
                  <c:v>0.0736007796513952</c:v>
                </c:pt>
                <c:pt idx="7">
                  <c:v>0.0576033505469271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70182875789175"/>
          <c:y val="0.0491826021747282"/>
          <c:w val="0.319006313400014"/>
          <c:h val="0.90749560151135"/>
        </c:manualLayout>
      </c:layout>
      <c:overlay val="0"/>
      <c:txPr>
        <a:bodyPr/>
        <a:lstStyle/>
        <a:p>
          <a:pPr>
            <a:defRPr>
              <a:latin typeface="Arial"/>
              <a:cs typeface="Arial"/>
            </a:defRPr>
          </a:pPr>
          <a:endParaRPr lang="en-US"/>
        </a:p>
      </c:txPr>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tx>
            <c:v>Sales</c:v>
          </c:tx>
          <c:marker>
            <c:symbol val="none"/>
          </c:marker>
          <c:cat>
            <c:numRef>
              <c:f>Projections!$B$3:$AL$3</c:f>
              <c:numCache>
                <c:formatCode>General</c:formatCode>
                <c:ptCount val="37"/>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numCache>
            </c:numRef>
          </c:cat>
          <c:val>
            <c:numRef>
              <c:f>Projections!$B$6:$AL$6</c:f>
              <c:numCache>
                <c:formatCode>"$"#,##0.00</c:formatCode>
                <c:ptCount val="37"/>
                <c:pt idx="1">
                  <c:v>42500.0</c:v>
                </c:pt>
                <c:pt idx="2">
                  <c:v>42925.0</c:v>
                </c:pt>
                <c:pt idx="3">
                  <c:v>43350.0</c:v>
                </c:pt>
                <c:pt idx="4">
                  <c:v>43775.0</c:v>
                </c:pt>
                <c:pt idx="5">
                  <c:v>44200.0</c:v>
                </c:pt>
                <c:pt idx="6">
                  <c:v>44625.0</c:v>
                </c:pt>
                <c:pt idx="7">
                  <c:v>45050.0</c:v>
                </c:pt>
                <c:pt idx="8">
                  <c:v>45475.0</c:v>
                </c:pt>
                <c:pt idx="9">
                  <c:v>45900.0</c:v>
                </c:pt>
                <c:pt idx="10">
                  <c:v>46325.0</c:v>
                </c:pt>
                <c:pt idx="11">
                  <c:v>46750.00000000001</c:v>
                </c:pt>
                <c:pt idx="12">
                  <c:v>47175.00000000001</c:v>
                </c:pt>
                <c:pt idx="13">
                  <c:v>47600.00000000001</c:v>
                </c:pt>
                <c:pt idx="14">
                  <c:v>48025.00000000001</c:v>
                </c:pt>
                <c:pt idx="15">
                  <c:v>48450.00000000001</c:v>
                </c:pt>
                <c:pt idx="16">
                  <c:v>48875.00000000001</c:v>
                </c:pt>
                <c:pt idx="17">
                  <c:v>49300.00000000001</c:v>
                </c:pt>
                <c:pt idx="18">
                  <c:v>49725.00000000001</c:v>
                </c:pt>
                <c:pt idx="19">
                  <c:v>50150.00000000001</c:v>
                </c:pt>
                <c:pt idx="20">
                  <c:v>50575.00000000001</c:v>
                </c:pt>
                <c:pt idx="21">
                  <c:v>51000.00000000001</c:v>
                </c:pt>
                <c:pt idx="22">
                  <c:v>51425.00000000001</c:v>
                </c:pt>
                <c:pt idx="23">
                  <c:v>51850.00000000001</c:v>
                </c:pt>
                <c:pt idx="24">
                  <c:v>52275.00000000001</c:v>
                </c:pt>
                <c:pt idx="25">
                  <c:v>52700.00000000001</c:v>
                </c:pt>
                <c:pt idx="26">
                  <c:v>53125.00000000001</c:v>
                </c:pt>
                <c:pt idx="27">
                  <c:v>53550.00000000001</c:v>
                </c:pt>
                <c:pt idx="28">
                  <c:v>53975.00000000001</c:v>
                </c:pt>
                <c:pt idx="29">
                  <c:v>54400.00000000001</c:v>
                </c:pt>
                <c:pt idx="30">
                  <c:v>54825.00000000001</c:v>
                </c:pt>
                <c:pt idx="31">
                  <c:v>55250.00000000001</c:v>
                </c:pt>
                <c:pt idx="32">
                  <c:v>55675.00000000001</c:v>
                </c:pt>
                <c:pt idx="33">
                  <c:v>56100.00000000001</c:v>
                </c:pt>
                <c:pt idx="34">
                  <c:v>56525.00000000001</c:v>
                </c:pt>
                <c:pt idx="35">
                  <c:v>56950.00000000001</c:v>
                </c:pt>
                <c:pt idx="36">
                  <c:v>57375.00000000001</c:v>
                </c:pt>
              </c:numCache>
            </c:numRef>
          </c:val>
          <c:smooth val="0"/>
        </c:ser>
        <c:ser>
          <c:idx val="1"/>
          <c:order val="1"/>
          <c:tx>
            <c:v>Net Income</c:v>
          </c:tx>
          <c:marker>
            <c:symbol val="none"/>
          </c:marker>
          <c:cat>
            <c:numRef>
              <c:f>Projections!$B$3:$AL$3</c:f>
              <c:numCache>
                <c:formatCode>General</c:formatCode>
                <c:ptCount val="37"/>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numCache>
            </c:numRef>
          </c:cat>
          <c:val>
            <c:numRef>
              <c:f>Projections!$B$20:$AL$20</c:f>
              <c:numCache>
                <c:formatCode>"$"#,##0.00</c:formatCode>
                <c:ptCount val="37"/>
                <c:pt idx="1">
                  <c:v>3980.541475835049</c:v>
                </c:pt>
                <c:pt idx="2">
                  <c:v>4250.416475835049</c:v>
                </c:pt>
                <c:pt idx="3">
                  <c:v>4520.291475835049</c:v>
                </c:pt>
                <c:pt idx="4">
                  <c:v>4790.166475835048</c:v>
                </c:pt>
                <c:pt idx="5">
                  <c:v>5060.041475835049</c:v>
                </c:pt>
                <c:pt idx="6">
                  <c:v>5329.916475835049</c:v>
                </c:pt>
                <c:pt idx="7">
                  <c:v>5599.791475835049</c:v>
                </c:pt>
                <c:pt idx="8">
                  <c:v>5869.666475835048</c:v>
                </c:pt>
                <c:pt idx="9">
                  <c:v>6139.541475835049</c:v>
                </c:pt>
                <c:pt idx="10">
                  <c:v>6409.416475835049</c:v>
                </c:pt>
                <c:pt idx="11">
                  <c:v>6679.291475835053</c:v>
                </c:pt>
                <c:pt idx="12">
                  <c:v>6949.166475835052</c:v>
                </c:pt>
                <c:pt idx="13">
                  <c:v>3052.374809168385</c:v>
                </c:pt>
                <c:pt idx="14">
                  <c:v>3322.249809168385</c:v>
                </c:pt>
                <c:pt idx="15">
                  <c:v>3592.124809168385</c:v>
                </c:pt>
                <c:pt idx="16">
                  <c:v>3861.999809168385</c:v>
                </c:pt>
                <c:pt idx="17">
                  <c:v>4131.874809168385</c:v>
                </c:pt>
                <c:pt idx="18">
                  <c:v>4401.749809168385</c:v>
                </c:pt>
                <c:pt idx="19">
                  <c:v>4671.624809168384</c:v>
                </c:pt>
                <c:pt idx="20">
                  <c:v>4941.499809168385</c:v>
                </c:pt>
                <c:pt idx="21">
                  <c:v>5211.374809168385</c:v>
                </c:pt>
                <c:pt idx="22">
                  <c:v>5481.249809168385</c:v>
                </c:pt>
                <c:pt idx="23">
                  <c:v>5751.12480916838</c:v>
                </c:pt>
                <c:pt idx="24">
                  <c:v>6020.999809168381</c:v>
                </c:pt>
                <c:pt idx="25">
                  <c:v>2124.208142501717</c:v>
                </c:pt>
                <c:pt idx="26">
                  <c:v>2394.083142501717</c:v>
                </c:pt>
                <c:pt idx="27">
                  <c:v>2663.958142501717</c:v>
                </c:pt>
                <c:pt idx="28">
                  <c:v>2933.833142501716</c:v>
                </c:pt>
                <c:pt idx="29">
                  <c:v>3203.708142501717</c:v>
                </c:pt>
                <c:pt idx="30">
                  <c:v>3473.583142501731</c:v>
                </c:pt>
                <c:pt idx="31">
                  <c:v>3743.458142501731</c:v>
                </c:pt>
                <c:pt idx="32">
                  <c:v>4013.333142501731</c:v>
                </c:pt>
                <c:pt idx="33">
                  <c:v>4283.208142501731</c:v>
                </c:pt>
                <c:pt idx="34">
                  <c:v>4553.083142501731</c:v>
                </c:pt>
                <c:pt idx="35">
                  <c:v>4822.958142501731</c:v>
                </c:pt>
                <c:pt idx="36">
                  <c:v>5092.833142501731</c:v>
                </c:pt>
              </c:numCache>
            </c:numRef>
          </c:val>
          <c:smooth val="0"/>
        </c:ser>
        <c:ser>
          <c:idx val="2"/>
          <c:order val="2"/>
          <c:tx>
            <c:v>Cash</c:v>
          </c:tx>
          <c:marker>
            <c:symbol val="none"/>
          </c:marker>
          <c:cat>
            <c:numRef>
              <c:f>Projections!$B$3:$AL$3</c:f>
              <c:numCache>
                <c:formatCode>General</c:formatCode>
                <c:ptCount val="37"/>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numCache>
            </c:numRef>
          </c:cat>
          <c:val>
            <c:numRef>
              <c:f>Projections!$B$26:$AL$26</c:f>
              <c:numCache>
                <c:formatCode>"$"#,##0.00</c:formatCode>
                <c:ptCount val="37"/>
                <c:pt idx="0">
                  <c:v>11000.0</c:v>
                </c:pt>
                <c:pt idx="1">
                  <c:v>13388.32488550103</c:v>
                </c:pt>
                <c:pt idx="2">
                  <c:v>15938.57477100207</c:v>
                </c:pt>
                <c:pt idx="3">
                  <c:v>18650.7496565031</c:v>
                </c:pt>
                <c:pt idx="4">
                  <c:v>21524.84954200413</c:v>
                </c:pt>
                <c:pt idx="5">
                  <c:v>24560.87442750516</c:v>
                </c:pt>
                <c:pt idx="6">
                  <c:v>27758.8243130062</c:v>
                </c:pt>
                <c:pt idx="7">
                  <c:v>31118.69919850723</c:v>
                </c:pt>
                <c:pt idx="8">
                  <c:v>34640.49908400826</c:v>
                </c:pt>
                <c:pt idx="9">
                  <c:v>38324.22396950929</c:v>
                </c:pt>
                <c:pt idx="10">
                  <c:v>42169.87385501033</c:v>
                </c:pt>
                <c:pt idx="11">
                  <c:v>46177.44874051136</c:v>
                </c:pt>
                <c:pt idx="12">
                  <c:v>50346.9486260124</c:v>
                </c:pt>
                <c:pt idx="13">
                  <c:v>52178.37351151343</c:v>
                </c:pt>
                <c:pt idx="14">
                  <c:v>54171.72339701447</c:v>
                </c:pt>
                <c:pt idx="15">
                  <c:v>56326.9982825155</c:v>
                </c:pt>
                <c:pt idx="16">
                  <c:v>58644.19816801653</c:v>
                </c:pt>
                <c:pt idx="17">
                  <c:v>61123.32305351757</c:v>
                </c:pt>
                <c:pt idx="18">
                  <c:v>63764.3729390186</c:v>
                </c:pt>
                <c:pt idx="19">
                  <c:v>66567.34782451965</c:v>
                </c:pt>
                <c:pt idx="20">
                  <c:v>69532.24771002069</c:v>
                </c:pt>
                <c:pt idx="21">
                  <c:v>72659.07259552172</c:v>
                </c:pt>
                <c:pt idx="22">
                  <c:v>75947.82248102275</c:v>
                </c:pt>
                <c:pt idx="23">
                  <c:v>79398.49736652379</c:v>
                </c:pt>
                <c:pt idx="24">
                  <c:v>83011.09725202483</c:v>
                </c:pt>
                <c:pt idx="25">
                  <c:v>84285.62213752586</c:v>
                </c:pt>
                <c:pt idx="26">
                  <c:v>85722.07202302689</c:v>
                </c:pt>
                <c:pt idx="27">
                  <c:v>87320.44690852793</c:v>
                </c:pt>
                <c:pt idx="28">
                  <c:v>89080.74679402896</c:v>
                </c:pt>
                <c:pt idx="29">
                  <c:v>91002.97167952999</c:v>
                </c:pt>
                <c:pt idx="30">
                  <c:v>93087.121565031</c:v>
                </c:pt>
                <c:pt idx="31">
                  <c:v>95333.19645053205</c:v>
                </c:pt>
                <c:pt idx="32">
                  <c:v>97741.19633603308</c:v>
                </c:pt>
                <c:pt idx="33">
                  <c:v>100311.1212215341</c:v>
                </c:pt>
                <c:pt idx="34">
                  <c:v>103042.9711070351</c:v>
                </c:pt>
                <c:pt idx="35">
                  <c:v>105936.7459925362</c:v>
                </c:pt>
                <c:pt idx="36">
                  <c:v>108992.4458780372</c:v>
                </c:pt>
              </c:numCache>
            </c:numRef>
          </c:val>
          <c:smooth val="0"/>
        </c:ser>
        <c:dLbls>
          <c:showLegendKey val="0"/>
          <c:showVal val="0"/>
          <c:showCatName val="0"/>
          <c:showSerName val="0"/>
          <c:showPercent val="0"/>
          <c:showBubbleSize val="0"/>
        </c:dLbls>
        <c:marker val="1"/>
        <c:smooth val="0"/>
        <c:axId val="2083208952"/>
        <c:axId val="2083211960"/>
      </c:lineChart>
      <c:catAx>
        <c:axId val="2083208952"/>
        <c:scaling>
          <c:orientation val="minMax"/>
        </c:scaling>
        <c:delete val="0"/>
        <c:axPos val="b"/>
        <c:numFmt formatCode="General" sourceLinked="1"/>
        <c:majorTickMark val="out"/>
        <c:minorTickMark val="none"/>
        <c:tickLblPos val="nextTo"/>
        <c:crossAx val="2083211960"/>
        <c:crosses val="autoZero"/>
        <c:auto val="1"/>
        <c:lblAlgn val="ctr"/>
        <c:lblOffset val="100"/>
        <c:noMultiLvlLbl val="0"/>
      </c:catAx>
      <c:valAx>
        <c:axId val="2083211960"/>
        <c:scaling>
          <c:orientation val="minMax"/>
        </c:scaling>
        <c:delete val="0"/>
        <c:axPos val="l"/>
        <c:majorGridlines/>
        <c:numFmt formatCode="General" sourceLinked="1"/>
        <c:majorTickMark val="out"/>
        <c:minorTickMark val="none"/>
        <c:tickLblPos val="nextTo"/>
        <c:crossAx val="2083208952"/>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228600</xdr:colOff>
      <xdr:row>2</xdr:row>
      <xdr:rowOff>0</xdr:rowOff>
    </xdr:from>
    <xdr:to>
      <xdr:col>6</xdr:col>
      <xdr:colOff>609600</xdr:colOff>
      <xdr:row>42</xdr:row>
      <xdr:rowOff>88900</xdr:rowOff>
    </xdr:to>
    <xdr:sp macro="" textlink="">
      <xdr:nvSpPr>
        <xdr:cNvPr id="2" name="TextBox 1"/>
        <xdr:cNvSpPr txBox="1"/>
      </xdr:nvSpPr>
      <xdr:spPr>
        <a:xfrm>
          <a:off x="228600" y="381000"/>
          <a:ext cx="5334000" cy="770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t>Instructions</a:t>
          </a:r>
        </a:p>
        <a:p>
          <a:pPr algn="l"/>
          <a:r>
            <a:rPr lang="en-US" sz="1200" b="0"/>
            <a:t>This spreadsheet allows for the quick creation</a:t>
          </a:r>
          <a:r>
            <a:rPr lang="en-US" sz="1200" b="0" baseline="0"/>
            <a:t> of financial projections and financial statements when planning a entrepreneurial venture.  It is designed to be as general as possible but may not prove suitable for all businesses, particularly those with complicated financial structures or irregular revenue.  The spreadsheet assumes you buy all equipment needed.  The spreadsheet defaults to 100% debt financing, a mix of debt and equity financing is also possible. No depreciation or amortization expenses are calculated and a simple flat tax rate is assumed, with funds for taxes being set aside as taxable income is earned.</a:t>
          </a:r>
        </a:p>
        <a:p>
          <a:pPr algn="l"/>
          <a:endParaRPr lang="en-US" sz="1200" b="0" baseline="0"/>
        </a:p>
        <a:p>
          <a:pPr algn="l"/>
          <a:r>
            <a:rPr lang="en-US" sz="1200" b="0" baseline="0"/>
            <a:t>1) Fill out the Questionnaire tab.  All boxes in light blue should be filled out first.  I recommend you raise slightly more capital than you need.  Next complete the financing and sales estimate section.  Do not forget to include the tax rate.</a:t>
          </a:r>
        </a:p>
        <a:p>
          <a:pPr algn="l"/>
          <a:endParaRPr lang="en-US" sz="1200" b="0" baseline="0"/>
        </a:p>
        <a:p>
          <a:pPr algn="l"/>
          <a:r>
            <a:rPr lang="en-US" sz="1200" b="0" baseline="0"/>
            <a:t>2) Next I recommend you select "Save as..." from the File menu and make a copy of this spreadsheet.  I recommend you modify the copy not the original.</a:t>
          </a:r>
        </a:p>
        <a:p>
          <a:pPr algn="l"/>
          <a:endParaRPr lang="en-US" sz="1200" b="0" baseline="0"/>
        </a:p>
        <a:p>
          <a:pPr algn="l"/>
          <a:r>
            <a:rPr lang="en-US" sz="1200" b="0" baseline="0"/>
            <a:t>3) Unless you are confident in you Excel skills and business planning expertise I recommend you skip the Master Control tab.  If you must meddle, adjust the orange cells only.</a:t>
          </a:r>
        </a:p>
        <a:p>
          <a:pPr algn="l"/>
          <a:endParaRPr lang="en-US" sz="1200" b="0" baseline="0"/>
        </a:p>
        <a:p>
          <a:pPr algn="l"/>
          <a:r>
            <a:rPr lang="en-US" sz="1200" b="0" baseline="0"/>
            <a:t>4) The Answers tab contains the most useful information when planning a business, estimates of: startup costs, monthly debt payment, revenue, break even sales, and average monthly pre-tax income.</a:t>
          </a:r>
        </a:p>
        <a:p>
          <a:pPr algn="l"/>
          <a:endParaRPr lang="en-US" sz="1200" b="0" baseline="0"/>
        </a:p>
        <a:p>
          <a:pPr algn="l"/>
          <a:r>
            <a:rPr lang="en-US" sz="1200" b="0" baseline="0"/>
            <a:t>5) The Projections tab contains revenue, income, and cost projections for three years. Do not modify this tab unless you know what you're doing.</a:t>
          </a:r>
        </a:p>
        <a:p>
          <a:pPr algn="l"/>
          <a:endParaRPr lang="en-US" sz="1200" b="0" baseline="0"/>
        </a:p>
        <a:p>
          <a:pPr algn="l"/>
          <a:r>
            <a:rPr lang="en-US" sz="1200" b="0" baseline="0"/>
            <a:t>6) The Balance Sheet is prepared in accordance with IFRS.</a:t>
          </a:r>
        </a:p>
        <a:p>
          <a:pPr algn="l"/>
          <a:endParaRPr lang="en-US" sz="1200" b="0" baseline="0"/>
        </a:p>
        <a:p>
          <a:pPr algn="l"/>
          <a:r>
            <a:rPr lang="en-US" sz="1200" b="0" baseline="0"/>
            <a:t>7) The Income Statement is prepared in accordance with IFRS. </a:t>
          </a:r>
        </a:p>
        <a:p>
          <a:pPr algn="l"/>
          <a:endParaRPr lang="en-US" sz="1200" b="0" baseline="0"/>
        </a:p>
        <a:p>
          <a:pPr algn="l"/>
          <a:r>
            <a:rPr lang="en-US" sz="1200" b="0"/>
            <a:t>8) The Statement of Cash</a:t>
          </a:r>
          <a:r>
            <a:rPr lang="en-US" sz="1200" b="0" baseline="0"/>
            <a:t> Flow is prepared in accordance with IFRS.  </a:t>
          </a:r>
        </a:p>
        <a:p>
          <a:pPr algn="l"/>
          <a:endParaRPr lang="en-US" sz="1200" b="0" baseline="0"/>
        </a:p>
        <a:p>
          <a:pPr algn="l"/>
          <a:r>
            <a:rPr lang="en-US" sz="1200" b="0" baseline="0"/>
            <a:t>9) The Valuation tab attempts to value the proposed business using the venture capital method and the discounted cash flow method.</a:t>
          </a:r>
        </a:p>
        <a:p>
          <a:pPr algn="l"/>
          <a:endParaRPr lang="en-US" sz="1200" b="0" baseline="0"/>
        </a:p>
        <a:p>
          <a:pPr algn="l"/>
          <a:r>
            <a:rPr lang="en-US" sz="1200" b="0" baseline="0"/>
            <a:t>10) Y1 Bookkeeping tab is used  to double check math and presents data in a slightly different manner, than previous tabs. </a:t>
          </a:r>
          <a:endParaRPr lang="en-US" sz="12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101600</xdr:colOff>
      <xdr:row>5</xdr:row>
      <xdr:rowOff>76200</xdr:rowOff>
    </xdr:from>
    <xdr:to>
      <xdr:col>6</xdr:col>
      <xdr:colOff>139700</xdr:colOff>
      <xdr:row>23</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215900</xdr:colOff>
      <xdr:row>0</xdr:row>
      <xdr:rowOff>76200</xdr:rowOff>
    </xdr:from>
    <xdr:to>
      <xdr:col>15</xdr:col>
      <xdr:colOff>406400</xdr:colOff>
      <xdr:row>23</xdr:row>
      <xdr:rowOff>127000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
  <sheetViews>
    <sheetView showRuler="0" view="pageLayout" topLeftCell="A3" workbookViewId="0">
      <selection activeCell="G27" sqref="G27"/>
    </sheetView>
  </sheetViews>
  <sheetFormatPr baseColWidth="10" defaultRowHeight="15" x14ac:dyDescent="0"/>
  <sheetData/>
  <phoneticPr fontId="5" type="noConversion"/>
  <pageMargins left="0.75" right="0.75" top="1" bottom="1" header="0.5" footer="0.5"/>
  <pageSetup orientation="portrait" horizontalDpi="4294967292" verticalDpi="4294967292"/>
  <drawing r:id="rId1"/>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Ruler="0" topLeftCell="A3" workbookViewId="0">
      <selection activeCell="B32" sqref="B32"/>
    </sheetView>
  </sheetViews>
  <sheetFormatPr baseColWidth="10" defaultRowHeight="15" x14ac:dyDescent="0"/>
  <cols>
    <col min="1" max="1" width="19" bestFit="1" customWidth="1"/>
    <col min="2" max="2" width="11.5" bestFit="1" customWidth="1"/>
    <col min="3" max="6" width="11" bestFit="1" customWidth="1"/>
    <col min="7" max="7" width="13.1640625" customWidth="1"/>
    <col min="8" max="12" width="11" bestFit="1" customWidth="1"/>
    <col min="13" max="13" width="11.5" bestFit="1" customWidth="1"/>
    <col min="14" max="14" width="11" bestFit="1" customWidth="1"/>
    <col min="15" max="15" width="12.1640625" bestFit="1" customWidth="1"/>
    <col min="16" max="17" width="11" bestFit="1" customWidth="1"/>
    <col min="18" max="18" width="14.83203125" style="59" bestFit="1" customWidth="1"/>
    <col min="19" max="20" width="11" style="59" bestFit="1" customWidth="1"/>
    <col min="21" max="22" width="11.5" bestFit="1" customWidth="1"/>
  </cols>
  <sheetData>
    <row r="1" spans="1:21">
      <c r="A1" s="116" t="s">
        <v>174</v>
      </c>
      <c r="B1" s="129">
        <f>SUM(A30:D30)</f>
        <v>69846.948626012367</v>
      </c>
    </row>
    <row r="2" spans="1:21">
      <c r="A2" s="75" t="s">
        <v>175</v>
      </c>
      <c r="B2" s="124">
        <f>E30</f>
        <v>66004.426076296702</v>
      </c>
    </row>
    <row r="3" spans="1:21">
      <c r="A3" s="75" t="s">
        <v>188</v>
      </c>
      <c r="B3" s="124">
        <f>F30</f>
        <v>10000</v>
      </c>
    </row>
    <row r="4" spans="1:21" s="59" customFormat="1">
      <c r="A4" s="75"/>
      <c r="B4" s="127">
        <f>B1-B2-B3</f>
        <v>-6157.4774502843356</v>
      </c>
    </row>
    <row r="5" spans="1:21" s="59" customFormat="1">
      <c r="A5" s="75" t="s">
        <v>183</v>
      </c>
      <c r="B5" s="124">
        <f>U30</f>
        <v>538050</v>
      </c>
    </row>
    <row r="6" spans="1:21">
      <c r="A6" s="75" t="s">
        <v>57</v>
      </c>
      <c r="B6" s="124">
        <f>SUM(G30:T30)</f>
        <v>544207.47745028429</v>
      </c>
    </row>
    <row r="7" spans="1:21" s="59" customFormat="1" ht="16" thickBot="1">
      <c r="A7" s="29"/>
      <c r="B7" s="130">
        <f>B5-B6</f>
        <v>-6157.477450284292</v>
      </c>
    </row>
    <row r="8" spans="1:21" s="117" customFormat="1"/>
    <row r="9" spans="1:21" s="118" customFormat="1" ht="46" thickBot="1">
      <c r="A9" s="118" t="s">
        <v>74</v>
      </c>
      <c r="B9" s="118" t="s">
        <v>10</v>
      </c>
      <c r="C9" s="118" t="s">
        <v>11</v>
      </c>
      <c r="D9" s="119" t="s">
        <v>77</v>
      </c>
      <c r="E9" s="120" t="s">
        <v>177</v>
      </c>
      <c r="F9" s="122" t="s">
        <v>176</v>
      </c>
      <c r="G9" s="121" t="s">
        <v>9</v>
      </c>
      <c r="H9" s="118" t="s">
        <v>12</v>
      </c>
      <c r="I9" s="118" t="s">
        <v>178</v>
      </c>
      <c r="J9" s="118" t="s">
        <v>62</v>
      </c>
      <c r="K9" s="118" t="s">
        <v>179</v>
      </c>
      <c r="L9" s="118" t="s">
        <v>180</v>
      </c>
      <c r="M9" s="118" t="s">
        <v>19</v>
      </c>
      <c r="N9" s="118" t="s">
        <v>20</v>
      </c>
      <c r="O9" s="118" t="s">
        <v>181</v>
      </c>
      <c r="P9" s="118" t="s">
        <v>22</v>
      </c>
      <c r="Q9" s="121" t="s">
        <v>63</v>
      </c>
      <c r="R9" s="121" t="s">
        <v>56</v>
      </c>
      <c r="S9" s="121" t="s">
        <v>64</v>
      </c>
      <c r="T9" s="123" t="s">
        <v>182</v>
      </c>
      <c r="U9" s="118" t="s">
        <v>34</v>
      </c>
    </row>
    <row r="10" spans="1:21">
      <c r="A10" s="52">
        <f>Total_Cash_Invested</f>
        <v>90000</v>
      </c>
      <c r="B10" s="52">
        <f>Equipment</f>
        <v>10000</v>
      </c>
      <c r="C10" s="52">
        <f>Furniture</f>
        <v>5000</v>
      </c>
      <c r="D10" s="124">
        <f>Initial_Stock</f>
        <v>4500</v>
      </c>
      <c r="E10" s="125">
        <f>Loan_Principal</f>
        <v>80000</v>
      </c>
      <c r="F10" s="125">
        <f>Amount_Due_To_Shareholders</f>
        <v>10000</v>
      </c>
      <c r="G10" s="52">
        <f>Tennant_Improvements</f>
        <v>40000</v>
      </c>
      <c r="H10" s="52">
        <f>Permits</f>
        <v>2000</v>
      </c>
      <c r="I10" s="52">
        <f>Legal_Expenses</f>
        <v>2500</v>
      </c>
      <c r="J10" s="52">
        <f>Grand_Opening_Promotion</f>
        <v>10000</v>
      </c>
      <c r="K10" s="52">
        <f>Consultant_Fees</f>
        <v>5000</v>
      </c>
      <c r="L10" s="52">
        <f>Year_1_Compensation</f>
        <v>50000</v>
      </c>
      <c r="M10" s="52">
        <f>12*Monthly_Rent</f>
        <v>120000</v>
      </c>
      <c r="N10" s="52">
        <f>12*Monthly_Utilities_Expense</f>
        <v>24000</v>
      </c>
      <c r="O10" s="52">
        <f>12*Monthly_Maintenance_Expense</f>
        <v>6000</v>
      </c>
      <c r="P10" s="52">
        <f>12*Monthly_Insurance_Expense</f>
        <v>3300</v>
      </c>
      <c r="Q10" s="52">
        <f>12*Additional_Monthly_Expenses</f>
        <v>24000</v>
      </c>
      <c r="R10" s="52">
        <f>Projections!C8</f>
        <v>15512.5</v>
      </c>
      <c r="S10" s="62">
        <f>Projections!C31</f>
        <v>433.33333333333337</v>
      </c>
      <c r="T10" s="124">
        <f>Projections!C22</f>
        <v>1592.2165903340197</v>
      </c>
      <c r="U10" s="52">
        <f>Projections!C6</f>
        <v>42500</v>
      </c>
    </row>
    <row r="11" spans="1:21">
      <c r="A11" s="52">
        <f>-1*Equipment</f>
        <v>-10000</v>
      </c>
      <c r="B11" s="52"/>
      <c r="C11" s="52"/>
      <c r="D11" s="124"/>
      <c r="E11" s="125">
        <f>-1*Projections!C30</f>
        <v>-1131.9585241649499</v>
      </c>
      <c r="F11" s="125"/>
      <c r="G11" s="52"/>
      <c r="H11" s="52"/>
      <c r="I11" s="52"/>
      <c r="J11" s="52">
        <f>12*Monthly_Marketing_Expense</f>
        <v>30000</v>
      </c>
      <c r="K11" s="52"/>
      <c r="L11" s="52"/>
      <c r="M11" s="52"/>
      <c r="N11" s="52"/>
      <c r="O11" s="52"/>
      <c r="P11" s="52"/>
      <c r="Q11" s="52"/>
      <c r="R11" s="52">
        <f>Projections!D8</f>
        <v>15667.625</v>
      </c>
      <c r="S11" s="62">
        <f>Projections!D31</f>
        <v>427.20189132743997</v>
      </c>
      <c r="T11" s="124">
        <f>Projections!D22</f>
        <v>1700.1665903340197</v>
      </c>
      <c r="U11" s="52">
        <f>Projections!D6</f>
        <v>42925</v>
      </c>
    </row>
    <row r="12" spans="1:21">
      <c r="A12" s="52">
        <f>-1*Furniture</f>
        <v>-5000</v>
      </c>
      <c r="B12" s="52"/>
      <c r="C12" s="52"/>
      <c r="D12" s="124"/>
      <c r="E12" s="125">
        <f>-1*Projections!D30</f>
        <v>-1138.0899661708434</v>
      </c>
      <c r="F12" s="125"/>
      <c r="G12" s="52"/>
      <c r="H12" s="52"/>
      <c r="I12" s="52"/>
      <c r="J12" s="52"/>
      <c r="K12" s="52"/>
      <c r="L12" s="52"/>
      <c r="M12" s="52"/>
      <c r="N12" s="52"/>
      <c r="O12" s="52"/>
      <c r="P12" s="52"/>
      <c r="Q12" s="52"/>
      <c r="R12" s="52">
        <f>Projections!E8</f>
        <v>15822.75</v>
      </c>
      <c r="S12" s="62">
        <f>Projections!E31</f>
        <v>421.0372373440145</v>
      </c>
      <c r="T12" s="124">
        <f>Projections!E22</f>
        <v>1808.1165903340197</v>
      </c>
      <c r="U12" s="52">
        <f>Projections!E6</f>
        <v>43350</v>
      </c>
    </row>
    <row r="13" spans="1:21">
      <c r="A13" s="52">
        <f>-1*Initial_Stock</f>
        <v>-4500</v>
      </c>
      <c r="B13" s="52"/>
      <c r="C13" s="52"/>
      <c r="D13" s="124"/>
      <c r="E13" s="125">
        <f>-1*Projections!E30</f>
        <v>-1144.2546201542689</v>
      </c>
      <c r="F13" s="125"/>
      <c r="G13" s="52"/>
      <c r="H13" s="52"/>
      <c r="I13" s="52"/>
      <c r="J13" s="52"/>
      <c r="K13" s="52"/>
      <c r="L13" s="52"/>
      <c r="M13" s="52"/>
      <c r="N13" s="52"/>
      <c r="O13" s="52"/>
      <c r="P13" s="52"/>
      <c r="Q13" s="52"/>
      <c r="R13" s="52">
        <f>Projections!F8</f>
        <v>15977.875</v>
      </c>
      <c r="S13" s="62">
        <f>Projections!F31</f>
        <v>414.83919148484563</v>
      </c>
      <c r="T13" s="124">
        <f>Projections!F22</f>
        <v>1916.0665903340196</v>
      </c>
      <c r="U13" s="52">
        <f>Projections!F6</f>
        <v>43775</v>
      </c>
    </row>
    <row r="14" spans="1:21">
      <c r="A14" s="52">
        <f>-1*Tennant_Improvements</f>
        <v>-40000</v>
      </c>
      <c r="B14" s="52"/>
      <c r="C14" s="52"/>
      <c r="D14" s="124"/>
      <c r="E14" s="125">
        <f>-1*Projections!F30</f>
        <v>-1150.4526660134377</v>
      </c>
      <c r="F14" s="125"/>
      <c r="G14" s="52"/>
      <c r="H14" s="52"/>
      <c r="I14" s="52"/>
      <c r="J14" s="52"/>
      <c r="K14" s="52"/>
      <c r="L14" s="52"/>
      <c r="M14" s="52"/>
      <c r="N14" s="52"/>
      <c r="O14" s="52"/>
      <c r="P14" s="52"/>
      <c r="Q14" s="52"/>
      <c r="R14" s="52">
        <f>Projections!G8</f>
        <v>16133</v>
      </c>
      <c r="S14" s="62">
        <f>Projections!G31</f>
        <v>408.60757287727279</v>
      </c>
      <c r="T14" s="124">
        <f>Projections!G22</f>
        <v>2024.0165903340196</v>
      </c>
      <c r="U14" s="52">
        <f>Projections!G6</f>
        <v>44200</v>
      </c>
    </row>
    <row r="15" spans="1:21">
      <c r="A15" s="52">
        <f>-1*Permits</f>
        <v>-2000</v>
      </c>
      <c r="B15" s="52"/>
      <c r="C15" s="52"/>
      <c r="D15" s="124"/>
      <c r="E15" s="125">
        <f>-1*Projections!G30</f>
        <v>-1156.6842846210106</v>
      </c>
      <c r="F15" s="125"/>
      <c r="G15" s="52"/>
      <c r="H15" s="52"/>
      <c r="I15" s="52"/>
      <c r="J15" s="52"/>
      <c r="K15" s="52"/>
      <c r="L15" s="52"/>
      <c r="M15" s="52"/>
      <c r="N15" s="52"/>
      <c r="O15" s="52"/>
      <c r="P15" s="52"/>
      <c r="Q15" s="52"/>
      <c r="R15" s="52">
        <f>Projections!H8</f>
        <v>16288.125</v>
      </c>
      <c r="S15" s="62">
        <f>Projections!H31</f>
        <v>402.3421996689089</v>
      </c>
      <c r="T15" s="124">
        <f>Projections!H22</f>
        <v>2131.9665903340197</v>
      </c>
      <c r="U15" s="52">
        <f>Projections!H6</f>
        <v>44625</v>
      </c>
    </row>
    <row r="16" spans="1:21">
      <c r="A16" s="52">
        <f>-1*Legal_Expenses</f>
        <v>-2500</v>
      </c>
      <c r="B16" s="52"/>
      <c r="C16" s="52"/>
      <c r="D16" s="124"/>
      <c r="E16" s="125">
        <f>-1*Projections!H30</f>
        <v>-1162.9496578293745</v>
      </c>
      <c r="F16" s="125"/>
      <c r="G16" s="52"/>
      <c r="H16" s="52"/>
      <c r="I16" s="52"/>
      <c r="J16" s="52"/>
      <c r="K16" s="52"/>
      <c r="L16" s="52"/>
      <c r="M16" s="52"/>
      <c r="N16" s="52"/>
      <c r="O16" s="52"/>
      <c r="P16" s="52"/>
      <c r="Q16" s="52"/>
      <c r="R16" s="52">
        <f>Projections!I8</f>
        <v>16443.25</v>
      </c>
      <c r="S16" s="62">
        <f>Projections!I31</f>
        <v>396.04288902233316</v>
      </c>
      <c r="T16" s="124">
        <f>Projections!I22</f>
        <v>2239.9165903340195</v>
      </c>
      <c r="U16" s="52">
        <f>Projections!I6</f>
        <v>45050</v>
      </c>
    </row>
    <row r="17" spans="1:22">
      <c r="A17" s="52">
        <f>-1*Grand_Opening_Promotion</f>
        <v>-10000</v>
      </c>
      <c r="B17" s="52"/>
      <c r="C17" s="52"/>
      <c r="D17" s="124"/>
      <c r="E17" s="125">
        <f>-1*Projections!I30</f>
        <v>-1169.2489684759501</v>
      </c>
      <c r="F17" s="125"/>
      <c r="G17" s="52"/>
      <c r="H17" s="52"/>
      <c r="I17" s="52"/>
      <c r="J17" s="52"/>
      <c r="K17" s="52"/>
      <c r="L17" s="52"/>
      <c r="M17" s="52"/>
      <c r="N17" s="52"/>
      <c r="O17" s="52"/>
      <c r="P17" s="52"/>
      <c r="Q17" s="52"/>
      <c r="R17" s="52">
        <f>Projections!J8</f>
        <v>16598.375</v>
      </c>
      <c r="S17" s="62">
        <f>Projections!J31</f>
        <v>389.70945710975502</v>
      </c>
      <c r="T17" s="124">
        <f>Projections!J22</f>
        <v>2347.8665903340197</v>
      </c>
      <c r="U17" s="52">
        <f>Projections!J6</f>
        <v>45475</v>
      </c>
    </row>
    <row r="18" spans="1:22">
      <c r="A18" s="52">
        <f>-1*Consultant_Fees</f>
        <v>-5000</v>
      </c>
      <c r="B18" s="52"/>
      <c r="C18" s="52"/>
      <c r="D18" s="124"/>
      <c r="E18" s="125">
        <f>-1*Projections!J30</f>
        <v>-1175.5824003885282</v>
      </c>
      <c r="F18" s="125"/>
      <c r="G18" s="52"/>
      <c r="H18" s="52"/>
      <c r="I18" s="52"/>
      <c r="J18" s="52"/>
      <c r="K18" s="52"/>
      <c r="L18" s="52"/>
      <c r="M18" s="52"/>
      <c r="N18" s="52"/>
      <c r="O18" s="52"/>
      <c r="P18" s="52"/>
      <c r="Q18" s="52"/>
      <c r="R18" s="52">
        <f>Projections!K8</f>
        <v>16753.5</v>
      </c>
      <c r="S18" s="62">
        <f>Projections!K31</f>
        <v>383.34171910765053</v>
      </c>
      <c r="T18" s="124">
        <f>Projections!K22</f>
        <v>2455.8165903340196</v>
      </c>
      <c r="U18" s="52">
        <f>Projections!K6</f>
        <v>45900</v>
      </c>
    </row>
    <row r="19" spans="1:22">
      <c r="A19" s="52">
        <f>-1*Year_1_Compensation</f>
        <v>-50000</v>
      </c>
      <c r="B19" s="52"/>
      <c r="C19" s="52"/>
      <c r="D19" s="124"/>
      <c r="E19" s="125">
        <f>-1*Projections!K30</f>
        <v>-1181.9501383906327</v>
      </c>
      <c r="F19" s="125"/>
      <c r="G19" s="52"/>
      <c r="H19" s="52"/>
      <c r="I19" s="52"/>
      <c r="J19" s="52"/>
      <c r="K19" s="52"/>
      <c r="L19" s="52"/>
      <c r="M19" s="52"/>
      <c r="N19" s="52"/>
      <c r="O19" s="52"/>
      <c r="P19" s="52"/>
      <c r="Q19" s="52"/>
      <c r="R19" s="52">
        <f>Projections!L8</f>
        <v>16908.625</v>
      </c>
      <c r="S19" s="62">
        <f>Projections!L31</f>
        <v>376.93948919136801</v>
      </c>
      <c r="T19" s="124">
        <f>Projections!L22</f>
        <v>2563.7665903340198</v>
      </c>
      <c r="U19" s="52">
        <f>Projections!L6</f>
        <v>46325</v>
      </c>
    </row>
    <row r="20" spans="1:22">
      <c r="A20" s="52">
        <f>-12*Monthly_Rent</f>
        <v>-120000</v>
      </c>
      <c r="B20" s="52"/>
      <c r="C20" s="52"/>
      <c r="D20" s="124"/>
      <c r="E20" s="125">
        <f>-1*Projections!L30</f>
        <v>-1188.3523683069154</v>
      </c>
      <c r="F20" s="125"/>
      <c r="G20" s="52"/>
      <c r="H20" s="52"/>
      <c r="I20" s="52"/>
      <c r="J20" s="52"/>
      <c r="K20" s="52"/>
      <c r="L20" s="52"/>
      <c r="M20" s="52"/>
      <c r="N20" s="52"/>
      <c r="O20" s="52"/>
      <c r="P20" s="52"/>
      <c r="Q20" s="52"/>
      <c r="R20" s="52">
        <f>Projections!M8</f>
        <v>17063.750000000004</v>
      </c>
      <c r="S20" s="62">
        <f>Projections!M31</f>
        <v>370.5025805297056</v>
      </c>
      <c r="T20" s="124">
        <f>Projections!M22</f>
        <v>2671.716590334021</v>
      </c>
      <c r="U20" s="52">
        <f>Projections!M6</f>
        <v>46750.000000000007</v>
      </c>
    </row>
    <row r="21" spans="1:22">
      <c r="A21" s="52">
        <f>-12*Monthly_Utilities_Expense</f>
        <v>-24000</v>
      </c>
      <c r="B21" s="52"/>
      <c r="C21" s="52"/>
      <c r="D21" s="124"/>
      <c r="E21" s="125">
        <f>-1*Projections!M30</f>
        <v>-1194.789276968578</v>
      </c>
      <c r="F21" s="125"/>
      <c r="G21" s="52"/>
      <c r="H21" s="52"/>
      <c r="I21" s="52"/>
      <c r="J21" s="52"/>
      <c r="K21" s="52"/>
      <c r="L21" s="52"/>
      <c r="M21" s="52"/>
      <c r="N21" s="52"/>
      <c r="O21" s="52"/>
      <c r="P21" s="52"/>
      <c r="Q21" s="52"/>
      <c r="R21" s="52">
        <f>Projections!N8</f>
        <v>17218.875000000004</v>
      </c>
      <c r="S21" s="62">
        <f>Projections!N31</f>
        <v>364.030805279459</v>
      </c>
      <c r="T21" s="124">
        <f>Projections!N22</f>
        <v>2779.6665903340213</v>
      </c>
      <c r="U21" s="52">
        <f>Projections!N6</f>
        <v>47175.000000000007</v>
      </c>
    </row>
    <row r="22" spans="1:22">
      <c r="A22" s="52">
        <f>-12*Monthly_Maintenance_Expense</f>
        <v>-6000</v>
      </c>
      <c r="B22" s="52"/>
      <c r="C22" s="52"/>
      <c r="D22" s="124"/>
      <c r="E22" s="125">
        <f>-1*Projections!N30</f>
        <v>-1201.2610522188243</v>
      </c>
      <c r="F22" s="125"/>
      <c r="G22" s="52"/>
      <c r="H22" s="52"/>
      <c r="I22" s="52"/>
      <c r="J22" s="52"/>
      <c r="K22" s="52"/>
      <c r="L22" s="52"/>
      <c r="M22" s="52"/>
      <c r="N22" s="52"/>
      <c r="O22" s="52"/>
      <c r="P22" s="52"/>
      <c r="Q22" s="52"/>
      <c r="R22" s="52"/>
      <c r="S22" s="62"/>
      <c r="T22" s="124"/>
      <c r="U22" s="52"/>
    </row>
    <row r="23" spans="1:22">
      <c r="A23" s="52">
        <f>-12*Monthly_Insurance_Expense</f>
        <v>-3300</v>
      </c>
      <c r="B23" s="52"/>
      <c r="C23" s="52"/>
      <c r="D23" s="124"/>
      <c r="E23" s="125"/>
      <c r="F23" s="125"/>
      <c r="G23" s="52"/>
      <c r="H23" s="52"/>
      <c r="I23" s="52"/>
      <c r="J23" s="52"/>
      <c r="K23" s="52"/>
      <c r="L23" s="52"/>
      <c r="M23" s="52"/>
      <c r="N23" s="52"/>
      <c r="O23" s="52"/>
      <c r="P23" s="52"/>
      <c r="Q23" s="52"/>
      <c r="R23" s="52"/>
      <c r="S23" s="62"/>
      <c r="T23" s="124"/>
      <c r="U23" s="52"/>
    </row>
    <row r="24" spans="1:22">
      <c r="A24" s="52">
        <f>-12*Monthly_Marketing_Expense</f>
        <v>-30000</v>
      </c>
      <c r="B24" s="52"/>
      <c r="C24" s="52"/>
      <c r="D24" s="124"/>
      <c r="E24" s="125"/>
      <c r="F24" s="125"/>
      <c r="G24" s="52"/>
      <c r="H24" s="52"/>
      <c r="I24" s="52"/>
      <c r="J24" s="52"/>
      <c r="K24" s="52"/>
      <c r="L24" s="52"/>
      <c r="M24" s="52"/>
      <c r="N24" s="52"/>
      <c r="O24" s="52"/>
      <c r="P24" s="52"/>
      <c r="Q24" s="52"/>
      <c r="R24" s="52"/>
      <c r="S24" s="62"/>
      <c r="T24" s="124"/>
      <c r="U24" s="52"/>
    </row>
    <row r="25" spans="1:22">
      <c r="A25" s="52">
        <f>-12*Additional_Monthly_Expenses</f>
        <v>-24000</v>
      </c>
      <c r="B25" s="52"/>
      <c r="C25" s="52"/>
      <c r="D25" s="124"/>
      <c r="E25" s="125"/>
      <c r="F25" s="125"/>
      <c r="G25" s="52"/>
      <c r="H25" s="52"/>
      <c r="I25" s="52"/>
      <c r="J25" s="52"/>
      <c r="K25" s="52"/>
      <c r="L25" s="52"/>
      <c r="M25" s="52"/>
      <c r="N25" s="52"/>
      <c r="O25" s="52"/>
      <c r="P25" s="52"/>
      <c r="Q25" s="52"/>
      <c r="R25" s="52"/>
      <c r="S25" s="62"/>
      <c r="T25" s="124"/>
      <c r="U25" s="52"/>
    </row>
    <row r="26" spans="1:22">
      <c r="A26" s="52">
        <f>SUM(Projections!C6:N6)</f>
        <v>538050</v>
      </c>
      <c r="B26" s="52"/>
      <c r="C26" s="52"/>
      <c r="D26" s="124"/>
      <c r="E26" s="125"/>
      <c r="F26" s="125"/>
      <c r="G26" s="52"/>
      <c r="H26" s="52"/>
      <c r="I26" s="52"/>
      <c r="J26" s="52"/>
      <c r="K26" s="52"/>
      <c r="L26" s="52"/>
      <c r="M26" s="52"/>
      <c r="N26" s="52"/>
      <c r="O26" s="52"/>
      <c r="P26" s="52"/>
      <c r="Q26" s="52"/>
      <c r="R26" s="52"/>
      <c r="S26" s="62"/>
      <c r="T26" s="124"/>
      <c r="U26" s="52"/>
    </row>
    <row r="27" spans="1:22">
      <c r="A27" s="52">
        <f>-1*SUM(Projections!C8:N8)</f>
        <v>-196388.25</v>
      </c>
      <c r="B27" s="52"/>
      <c r="C27" s="52"/>
      <c r="D27" s="124"/>
      <c r="E27" s="125"/>
      <c r="F27" s="125"/>
      <c r="G27" s="52"/>
      <c r="H27" s="52"/>
      <c r="I27" s="52"/>
      <c r="J27" s="52"/>
      <c r="K27" s="52"/>
      <c r="L27" s="52"/>
      <c r="M27" s="52"/>
      <c r="N27" s="52"/>
      <c r="O27" s="52"/>
      <c r="P27" s="52"/>
      <c r="Q27" s="52"/>
      <c r="R27" s="52"/>
      <c r="S27" s="62"/>
      <c r="T27" s="124"/>
      <c r="U27" s="52"/>
    </row>
    <row r="28" spans="1:22">
      <c r="A28" s="52">
        <f>-12*Maximum_Monthly_Debt_Payment</f>
        <v>-18783.502289979402</v>
      </c>
      <c r="B28" s="52"/>
      <c r="C28" s="52"/>
      <c r="D28" s="124"/>
      <c r="E28" s="125"/>
      <c r="F28" s="125"/>
      <c r="G28" s="52"/>
      <c r="H28" s="52"/>
      <c r="I28" s="52"/>
      <c r="J28" s="52"/>
      <c r="K28" s="52"/>
      <c r="L28" s="52"/>
      <c r="M28" s="52"/>
      <c r="N28" s="52"/>
      <c r="O28" s="52"/>
      <c r="P28" s="52"/>
      <c r="Q28" s="52"/>
      <c r="R28" s="52"/>
      <c r="S28" s="62"/>
      <c r="T28" s="124"/>
      <c r="U28" s="52"/>
    </row>
    <row r="29" spans="1:22">
      <c r="A29" s="52">
        <f>-1*SUM(Projections!C22:N22)</f>
        <v>-26231.299084008238</v>
      </c>
      <c r="B29" s="52"/>
      <c r="C29" s="52"/>
      <c r="D29" s="124"/>
      <c r="E29" s="125"/>
      <c r="F29" s="125"/>
      <c r="G29" s="52"/>
      <c r="H29" s="52"/>
      <c r="I29" s="52"/>
      <c r="J29" s="52"/>
      <c r="K29" s="52"/>
      <c r="L29" s="52"/>
      <c r="M29" s="52"/>
      <c r="N29" s="52"/>
      <c r="O29" s="52"/>
      <c r="P29" s="52"/>
      <c r="Q29" s="52"/>
      <c r="R29" s="52"/>
      <c r="S29" s="62"/>
      <c r="T29" s="124"/>
      <c r="U29" s="52"/>
    </row>
    <row r="30" spans="1:22">
      <c r="A30" s="126">
        <f>SUM(A10:A29)</f>
        <v>50346.948626012367</v>
      </c>
      <c r="B30" s="126">
        <f t="shared" ref="B30:U30" si="0">SUM(B10:B29)</f>
        <v>10000</v>
      </c>
      <c r="C30" s="126">
        <f t="shared" si="0"/>
        <v>5000</v>
      </c>
      <c r="D30" s="127">
        <f t="shared" si="0"/>
        <v>4500</v>
      </c>
      <c r="E30" s="128">
        <f t="shared" si="0"/>
        <v>66004.426076296702</v>
      </c>
      <c r="F30" s="127">
        <f t="shared" si="0"/>
        <v>10000</v>
      </c>
      <c r="G30" s="126">
        <f t="shared" si="0"/>
        <v>40000</v>
      </c>
      <c r="H30" s="126">
        <f t="shared" si="0"/>
        <v>2000</v>
      </c>
      <c r="I30" s="126">
        <f t="shared" si="0"/>
        <v>2500</v>
      </c>
      <c r="J30" s="126">
        <f t="shared" si="0"/>
        <v>40000</v>
      </c>
      <c r="K30" s="126">
        <f t="shared" si="0"/>
        <v>5000</v>
      </c>
      <c r="L30" s="126">
        <f t="shared" si="0"/>
        <v>50000</v>
      </c>
      <c r="M30" s="126">
        <f t="shared" si="0"/>
        <v>120000</v>
      </c>
      <c r="N30" s="126">
        <f t="shared" si="0"/>
        <v>24000</v>
      </c>
      <c r="O30" s="126">
        <f t="shared" si="0"/>
        <v>6000</v>
      </c>
      <c r="P30" s="126">
        <f t="shared" si="0"/>
        <v>3300</v>
      </c>
      <c r="Q30" s="126">
        <f t="shared" si="0"/>
        <v>24000</v>
      </c>
      <c r="R30" s="126">
        <f t="shared" si="0"/>
        <v>196388.25</v>
      </c>
      <c r="S30" s="126">
        <f t="shared" si="0"/>
        <v>4787.9283662760863</v>
      </c>
      <c r="T30" s="127">
        <f t="shared" si="0"/>
        <v>26231.299084008238</v>
      </c>
      <c r="U30" s="126">
        <f t="shared" si="0"/>
        <v>538050</v>
      </c>
    </row>
    <row r="31" spans="1:22">
      <c r="R31"/>
      <c r="S31"/>
      <c r="T31"/>
      <c r="V31" s="52"/>
    </row>
    <row r="32" spans="1:22">
      <c r="A32" s="52"/>
      <c r="R32"/>
      <c r="S32"/>
      <c r="T32"/>
    </row>
    <row r="33" spans="18:20">
      <c r="R33"/>
      <c r="S33"/>
      <c r="T33"/>
    </row>
    <row r="34" spans="18:20">
      <c r="R34"/>
      <c r="S34"/>
      <c r="T34"/>
    </row>
  </sheetData>
  <conditionalFormatting sqref="B7">
    <cfRule type="cellIs" dxfId="6" priority="3" operator="notEqual">
      <formula>$B$4</formula>
    </cfRule>
  </conditionalFormatting>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cellIs" priority="8" operator="notEqual" id="{EFE13102-6304-3644-8BA8-1CE7A0B12239}">
            <xm:f>Projections!$N$26</xm:f>
            <x14:dxf>
              <font>
                <color rgb="FF9C0006"/>
              </font>
              <fill>
                <patternFill>
                  <bgColor rgb="FFFFC7CE"/>
                </patternFill>
              </fill>
            </x14:dxf>
          </x14:cfRule>
          <xm:sqref>A30</xm:sqref>
        </x14:conditionalFormatting>
        <x14:conditionalFormatting xmlns:xm="http://schemas.microsoft.com/office/excel/2006/main">
          <x14:cfRule type="cellIs" priority="7" operator="notEqual" id="{0F2C0DDE-B80E-0942-A67E-F4E077D369B1}">
            <xm:f>'Y1 Balance Sheet'!$C$31</xm:f>
            <x14:dxf>
              <font>
                <color rgb="FF9C0006"/>
              </font>
              <fill>
                <patternFill>
                  <bgColor rgb="FFFFC7CE"/>
                </patternFill>
              </fill>
            </x14:dxf>
          </x14:cfRule>
          <xm:sqref>E30</xm:sqref>
        </x14:conditionalFormatting>
        <x14:conditionalFormatting xmlns:xm="http://schemas.microsoft.com/office/excel/2006/main">
          <x14:cfRule type="cellIs" priority="6" operator="notEqual" id="{D6599FC6-2423-9643-9460-0C2E50C5DE92}">
            <xm:f>'Y1 Balance Sheet'!$C$34</xm:f>
            <x14:dxf>
              <font>
                <color rgb="FF9C0006"/>
              </font>
              <fill>
                <patternFill>
                  <bgColor rgb="FFFFC7CE"/>
                </patternFill>
              </fill>
            </x14:dxf>
          </x14:cfRule>
          <xm:sqref>F30</xm:sqref>
        </x14:conditionalFormatting>
        <x14:conditionalFormatting xmlns:xm="http://schemas.microsoft.com/office/excel/2006/main">
          <x14:cfRule type="cellIs" priority="4" operator="notEqual" id="{9E59F1B5-3A50-0948-B32A-3B2E17EE248D}">
            <xm:f>'Y1 Income Statement'!$C$10</xm:f>
            <x14:dxf>
              <font>
                <color rgb="FF9C0006"/>
              </font>
              <fill>
                <patternFill>
                  <bgColor rgb="FFFFC7CE"/>
                </patternFill>
              </fill>
            </x14:dxf>
          </x14:cfRule>
          <xm:sqref>U30</xm:sqref>
        </x14:conditionalFormatting>
        <x14:conditionalFormatting xmlns:xm="http://schemas.microsoft.com/office/excel/2006/main">
          <x14:cfRule type="cellIs" priority="2" operator="notEqual" id="{7F7BDC0F-52BD-9C49-BE5C-2059744F043C}">
            <xm:f>'Y1 Income Statement'!$C$14</xm:f>
            <x14:dxf>
              <font>
                <color rgb="FF9C0006"/>
              </font>
              <fill>
                <patternFill>
                  <bgColor rgb="FFFFC7CE"/>
                </patternFill>
              </fill>
            </x14:dxf>
          </x14:cfRule>
          <xm:sqref>R30</xm:sqref>
        </x14:conditionalFormatting>
        <x14:conditionalFormatting xmlns:xm="http://schemas.microsoft.com/office/excel/2006/main">
          <x14:cfRule type="cellIs" priority="1" operator="notEqual" id="{378F78FA-26BA-6243-83BA-CB4FFFDAB497}">
            <xm:f>'Y1 Income Statement'!$C$30</xm:f>
            <x14:dxf>
              <font>
                <color rgb="FF9C0006"/>
              </font>
              <fill>
                <patternFill>
                  <bgColor rgb="FFFFC7CE"/>
                </patternFill>
              </fill>
            </x14:dxf>
          </x14:cfRule>
          <xm:sqref>T30</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D38"/>
  <sheetViews>
    <sheetView showRuler="0" topLeftCell="A9" workbookViewId="0">
      <selection activeCell="B12" sqref="B12"/>
    </sheetView>
  </sheetViews>
  <sheetFormatPr baseColWidth="10" defaultRowHeight="15" x14ac:dyDescent="0"/>
  <cols>
    <col min="1" max="1" width="28.5" bestFit="1" customWidth="1"/>
    <col min="2" max="2" width="11.83203125" bestFit="1" customWidth="1"/>
    <col min="4" max="4" width="11.83203125" bestFit="1" customWidth="1"/>
  </cols>
  <sheetData>
    <row r="1" spans="1:4" ht="18">
      <c r="A1" s="2" t="s">
        <v>0</v>
      </c>
      <c r="B1" s="133" t="s">
        <v>1</v>
      </c>
      <c r="C1" s="133"/>
      <c r="D1" s="133"/>
    </row>
    <row r="2" spans="1:4" ht="18">
      <c r="A2" s="2" t="s">
        <v>2</v>
      </c>
      <c r="B2" s="10">
        <v>2012</v>
      </c>
      <c r="C2" s="3"/>
      <c r="D2" s="3"/>
    </row>
    <row r="3" spans="1:4" ht="18">
      <c r="A3" s="1" t="s">
        <v>3</v>
      </c>
      <c r="B3" s="13">
        <v>10000</v>
      </c>
      <c r="C3" s="3"/>
      <c r="D3" s="3"/>
    </row>
    <row r="4" spans="1:4" ht="18">
      <c r="A4" s="1"/>
      <c r="B4" s="16"/>
      <c r="C4" s="8"/>
      <c r="D4" s="8"/>
    </row>
    <row r="5" spans="1:4" ht="20">
      <c r="A5" s="132" t="s">
        <v>187</v>
      </c>
      <c r="B5" s="132"/>
      <c r="C5" s="132"/>
      <c r="D5" s="132"/>
    </row>
    <row r="6" spans="1:4">
      <c r="A6" t="s">
        <v>9</v>
      </c>
      <c r="B6" s="11">
        <v>40000</v>
      </c>
    </row>
    <row r="7" spans="1:4">
      <c r="A7" t="s">
        <v>10</v>
      </c>
      <c r="B7" s="11">
        <v>10000</v>
      </c>
    </row>
    <row r="8" spans="1:4">
      <c r="A8" t="s">
        <v>11</v>
      </c>
      <c r="B8" s="11">
        <v>5000</v>
      </c>
    </row>
    <row r="9" spans="1:4">
      <c r="A9" t="s">
        <v>12</v>
      </c>
      <c r="B9" s="11">
        <v>2000</v>
      </c>
    </row>
    <row r="10" spans="1:4">
      <c r="A10" t="s">
        <v>13</v>
      </c>
      <c r="B10" s="11">
        <v>2500</v>
      </c>
    </row>
    <row r="11" spans="1:4">
      <c r="A11" t="s">
        <v>14</v>
      </c>
      <c r="B11" s="11">
        <v>4500</v>
      </c>
    </row>
    <row r="12" spans="1:4">
      <c r="A12" t="s">
        <v>15</v>
      </c>
      <c r="B12" s="11">
        <v>10000</v>
      </c>
    </row>
    <row r="13" spans="1:4">
      <c r="A13" t="s">
        <v>16</v>
      </c>
      <c r="B13" s="11">
        <v>10000</v>
      </c>
    </row>
    <row r="14" spans="1:4">
      <c r="A14" t="s">
        <v>17</v>
      </c>
      <c r="B14" s="11">
        <v>5000</v>
      </c>
    </row>
    <row r="16" spans="1:4" ht="20">
      <c r="A16" s="132" t="s">
        <v>4</v>
      </c>
      <c r="B16" s="132"/>
      <c r="C16" s="132"/>
      <c r="D16" s="132"/>
    </row>
    <row r="17" spans="1:4">
      <c r="B17" s="6" t="s">
        <v>5</v>
      </c>
      <c r="C17" s="6" t="s">
        <v>6</v>
      </c>
      <c r="D17" s="6" t="s">
        <v>7</v>
      </c>
    </row>
    <row r="18" spans="1:4">
      <c r="A18" t="s">
        <v>18</v>
      </c>
      <c r="B18" s="12">
        <v>50000</v>
      </c>
      <c r="C18" s="12">
        <v>100000</v>
      </c>
      <c r="D18" s="12">
        <v>150000</v>
      </c>
    </row>
    <row r="20" spans="1:4" ht="20">
      <c r="A20" s="132" t="s">
        <v>8</v>
      </c>
      <c r="B20" s="132"/>
      <c r="C20" s="132"/>
      <c r="D20" s="132"/>
    </row>
    <row r="21" spans="1:4">
      <c r="A21" t="s">
        <v>19</v>
      </c>
      <c r="B21" s="12">
        <v>10000</v>
      </c>
    </row>
    <row r="22" spans="1:4">
      <c r="A22" t="s">
        <v>20</v>
      </c>
      <c r="B22" s="12">
        <v>2000</v>
      </c>
    </row>
    <row r="23" spans="1:4">
      <c r="A23" t="s">
        <v>21</v>
      </c>
      <c r="B23" s="12">
        <v>500</v>
      </c>
    </row>
    <row r="24" spans="1:4">
      <c r="A24" t="s">
        <v>22</v>
      </c>
      <c r="B24" s="12">
        <v>275</v>
      </c>
    </row>
    <row r="25" spans="1:4">
      <c r="A25" t="s">
        <v>23</v>
      </c>
      <c r="B25" s="12">
        <v>2500</v>
      </c>
    </row>
    <row r="26" spans="1:4">
      <c r="A26" t="s">
        <v>24</v>
      </c>
      <c r="B26" s="12">
        <v>2000</v>
      </c>
    </row>
    <row r="28" spans="1:4" ht="20">
      <c r="A28" s="132" t="s">
        <v>26</v>
      </c>
      <c r="B28" s="132"/>
      <c r="C28" s="132"/>
      <c r="D28" s="7">
        <f>Financing_Shortfall</f>
        <v>79000</v>
      </c>
    </row>
    <row r="29" spans="1:4">
      <c r="A29" t="s">
        <v>27</v>
      </c>
      <c r="B29" s="5">
        <v>80000</v>
      </c>
    </row>
    <row r="30" spans="1:4">
      <c r="A30" t="s">
        <v>30</v>
      </c>
      <c r="B30" s="17">
        <v>6.5000000000000002E-2</v>
      </c>
      <c r="C30" t="s">
        <v>31</v>
      </c>
    </row>
    <row r="31" spans="1:4">
      <c r="A31" t="s">
        <v>32</v>
      </c>
      <c r="B31">
        <v>5</v>
      </c>
      <c r="C31" t="s">
        <v>33</v>
      </c>
    </row>
    <row r="33" spans="1:4" ht="20">
      <c r="A33" s="132" t="s">
        <v>34</v>
      </c>
      <c r="B33" s="132"/>
      <c r="C33" s="132"/>
      <c r="D33" s="132"/>
    </row>
    <row r="34" spans="1:4">
      <c r="A34" t="s">
        <v>35</v>
      </c>
      <c r="B34" s="17">
        <v>0.36499999999999999</v>
      </c>
    </row>
    <row r="35" spans="1:4">
      <c r="A35" t="s">
        <v>36</v>
      </c>
      <c r="B35" s="5">
        <v>42500</v>
      </c>
    </row>
    <row r="36" spans="1:4">
      <c r="A36" t="s">
        <v>37</v>
      </c>
      <c r="B36" s="17">
        <v>0.01</v>
      </c>
    </row>
    <row r="38" spans="1:4">
      <c r="A38" s="1" t="s">
        <v>38</v>
      </c>
      <c r="B38" s="14">
        <v>0.4</v>
      </c>
    </row>
  </sheetData>
  <mergeCells count="6">
    <mergeCell ref="A33:D33"/>
    <mergeCell ref="B1:D1"/>
    <mergeCell ref="A5:D5"/>
    <mergeCell ref="A16:D16"/>
    <mergeCell ref="A20:D20"/>
    <mergeCell ref="A28:C28"/>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D31"/>
  <sheetViews>
    <sheetView showRuler="0" workbookViewId="0">
      <selection activeCell="B3" sqref="B3"/>
    </sheetView>
  </sheetViews>
  <sheetFormatPr baseColWidth="10" defaultRowHeight="15" x14ac:dyDescent="0"/>
  <cols>
    <col min="1" max="1" width="35.1640625" bestFit="1" customWidth="1"/>
    <col min="2" max="2" width="15.1640625" bestFit="1" customWidth="1"/>
  </cols>
  <sheetData>
    <row r="1" spans="1:4">
      <c r="A1" s="1" t="s">
        <v>25</v>
      </c>
      <c r="B1" s="4">
        <f>Answers!B1-Contributed_Capital</f>
        <v>79000</v>
      </c>
    </row>
    <row r="2" spans="1:4">
      <c r="A2" s="1" t="s">
        <v>28</v>
      </c>
      <c r="B2" s="15">
        <v>1</v>
      </c>
    </row>
    <row r="3" spans="1:4">
      <c r="A3" s="1" t="s">
        <v>29</v>
      </c>
      <c r="B3" s="14">
        <f>1-B2</f>
        <v>0</v>
      </c>
    </row>
    <row r="4" spans="1:4">
      <c r="A4" s="1" t="s">
        <v>88</v>
      </c>
      <c r="B4" s="4">
        <f>Percentage_Debt_Financing*Capital_Needed</f>
        <v>80000</v>
      </c>
    </row>
    <row r="5" spans="1:4">
      <c r="A5" s="1" t="s">
        <v>39</v>
      </c>
      <c r="B5" s="19">
        <f>Percentage_Equity_Financing</f>
        <v>0</v>
      </c>
    </row>
    <row r="6" spans="1:4">
      <c r="A6" s="1" t="s">
        <v>40</v>
      </c>
      <c r="B6" s="17">
        <f>1-Percentage_of_Company_Sold</f>
        <v>1</v>
      </c>
    </row>
    <row r="7" spans="1:4" s="50" customFormat="1">
      <c r="A7" s="1" t="s">
        <v>129</v>
      </c>
      <c r="B7" s="4">
        <f>(Percentage_Equity_Financing*Capital_Needed)+Contributed_Capital</f>
        <v>10000</v>
      </c>
    </row>
    <row r="8" spans="1:4">
      <c r="A8" s="1" t="s">
        <v>41</v>
      </c>
      <c r="B8">
        <f>Length_of_Term_Loan*12</f>
        <v>60</v>
      </c>
    </row>
    <row r="9" spans="1:4">
      <c r="A9" s="1" t="s">
        <v>68</v>
      </c>
      <c r="B9" s="17">
        <f>Term_Loan_Interest_Rate/12</f>
        <v>5.4166666666666669E-3</v>
      </c>
    </row>
    <row r="10" spans="1:4" s="59" customFormat="1" ht="16" thickBot="1">
      <c r="A10" s="70" t="s">
        <v>167</v>
      </c>
      <c r="B10" s="4">
        <f>Debt_Payment_Periods*Maximum_Monthly_Debt_Payment</f>
        <v>93917.511449897007</v>
      </c>
    </row>
    <row r="11" spans="1:4">
      <c r="A11" s="134" t="s">
        <v>45</v>
      </c>
      <c r="B11" s="135"/>
      <c r="C11" s="135"/>
      <c r="D11" s="136"/>
    </row>
    <row r="12" spans="1:4">
      <c r="A12" s="21" t="s">
        <v>47</v>
      </c>
      <c r="B12" s="22">
        <f>Monthly_Rent</f>
        <v>10000</v>
      </c>
      <c r="C12" s="23"/>
      <c r="D12" s="24">
        <f t="shared" ref="D12:D19" si="0">B12/Average_Monthly_Costs</f>
        <v>0.36800389825697605</v>
      </c>
    </row>
    <row r="13" spans="1:4">
      <c r="A13" s="21" t="s">
        <v>48</v>
      </c>
      <c r="B13" s="22">
        <f>Monthly_Utilities_Expense</f>
        <v>2000</v>
      </c>
      <c r="C13" s="23"/>
      <c r="D13" s="24">
        <f t="shared" si="0"/>
        <v>7.3600779651395207E-2</v>
      </c>
    </row>
    <row r="14" spans="1:4">
      <c r="A14" s="21" t="s">
        <v>49</v>
      </c>
      <c r="B14" s="22">
        <f>Monthly_Maintenance_Expense</f>
        <v>500</v>
      </c>
      <c r="C14" s="23"/>
      <c r="D14" s="24">
        <f t="shared" si="0"/>
        <v>1.8400194912848802E-2</v>
      </c>
    </row>
    <row r="15" spans="1:4">
      <c r="A15" s="21" t="s">
        <v>50</v>
      </c>
      <c r="B15" s="22">
        <f>Monthly_Insurance_Expense</f>
        <v>275</v>
      </c>
      <c r="C15" s="23"/>
      <c r="D15" s="24">
        <f t="shared" si="0"/>
        <v>1.012010720206684E-2</v>
      </c>
    </row>
    <row r="16" spans="1:4">
      <c r="A16" s="21" t="s">
        <v>186</v>
      </c>
      <c r="B16" s="22">
        <f>(Year_1_Compensation+Year_2_Compensation+Year_3_Compensation)/36</f>
        <v>8333.3333333333339</v>
      </c>
      <c r="C16" s="23"/>
      <c r="D16" s="24">
        <f t="shared" si="0"/>
        <v>0.30666991521414672</v>
      </c>
    </row>
    <row r="17" spans="1:4">
      <c r="A17" s="21" t="s">
        <v>51</v>
      </c>
      <c r="B17" s="22">
        <f>Monthly_Marketing_Expense</f>
        <v>2500</v>
      </c>
      <c r="C17" s="23"/>
      <c r="D17" s="24">
        <f t="shared" si="0"/>
        <v>9.2000974564244012E-2</v>
      </c>
    </row>
    <row r="18" spans="1:4">
      <c r="A18" s="21" t="s">
        <v>24</v>
      </c>
      <c r="B18" s="22">
        <f>Additional_Monthly_Expenses</f>
        <v>2000</v>
      </c>
      <c r="C18" s="23"/>
      <c r="D18" s="24">
        <f t="shared" si="0"/>
        <v>7.3600779651395207E-2</v>
      </c>
    </row>
    <row r="19" spans="1:4">
      <c r="A19" s="21" t="s">
        <v>46</v>
      </c>
      <c r="B19" s="22">
        <f>Maximum_Monthly_Debt_Payment</f>
        <v>1565.2918574982834</v>
      </c>
      <c r="C19" s="23"/>
      <c r="D19" s="24">
        <f t="shared" si="0"/>
        <v>5.7603350546927133E-2</v>
      </c>
    </row>
    <row r="20" spans="1:4">
      <c r="A20" s="21"/>
      <c r="B20" s="20">
        <f>SUM(B12:B19)</f>
        <v>27173.625190831619</v>
      </c>
      <c r="C20" s="23"/>
      <c r="D20" s="25">
        <v>1</v>
      </c>
    </row>
    <row r="21" spans="1:4">
      <c r="A21" s="21"/>
      <c r="B21" s="26" t="s">
        <v>52</v>
      </c>
      <c r="C21" s="31">
        <f>1-Average_COGS</f>
        <v>0.63500000000000001</v>
      </c>
      <c r="D21" s="27"/>
    </row>
    <row r="22" spans="1:4" ht="16" thickBot="1">
      <c r="A22" s="28"/>
      <c r="B22" s="29" t="s">
        <v>53</v>
      </c>
      <c r="C22" s="32">
        <f>Average_Monthly_Costs/C21</f>
        <v>42793.110536742708</v>
      </c>
      <c r="D22" s="30"/>
    </row>
    <row r="23" spans="1:4" s="50" customFormat="1">
      <c r="A23" s="134" t="s">
        <v>144</v>
      </c>
      <c r="B23" s="136"/>
      <c r="C23" s="22"/>
      <c r="D23" s="23"/>
    </row>
    <row r="24" spans="1:4">
      <c r="A24" s="75" t="s">
        <v>143</v>
      </c>
      <c r="B24" s="76">
        <v>1000000</v>
      </c>
    </row>
    <row r="25" spans="1:4">
      <c r="A25" s="75" t="s">
        <v>189</v>
      </c>
      <c r="B25" s="77">
        <v>0.33</v>
      </c>
    </row>
    <row r="26" spans="1:4">
      <c r="A26" s="75" t="s">
        <v>145</v>
      </c>
      <c r="B26" s="78">
        <v>5</v>
      </c>
    </row>
    <row r="27" spans="1:4">
      <c r="A27" s="75" t="s">
        <v>146</v>
      </c>
      <c r="B27" s="78">
        <v>11</v>
      </c>
    </row>
    <row r="28" spans="1:4">
      <c r="A28" s="75" t="s">
        <v>147</v>
      </c>
      <c r="B28" s="77">
        <v>0.4</v>
      </c>
    </row>
    <row r="29" spans="1:4">
      <c r="A29" s="75" t="s">
        <v>148</v>
      </c>
      <c r="B29" s="40">
        <f>Percentage_Equity_Financing*Capital_Needed</f>
        <v>0</v>
      </c>
    </row>
    <row r="30" spans="1:4">
      <c r="A30" s="75" t="s">
        <v>149</v>
      </c>
      <c r="B30" s="78">
        <v>10000</v>
      </c>
    </row>
    <row r="31" spans="1:4" ht="16" thickBot="1">
      <c r="A31" s="79" t="s">
        <v>150</v>
      </c>
      <c r="B31" s="80">
        <v>0.18</v>
      </c>
    </row>
  </sheetData>
  <mergeCells count="2">
    <mergeCell ref="A11:D11"/>
    <mergeCell ref="A23:B23"/>
  </mergeCells>
  <conditionalFormatting sqref="B1">
    <cfRule type="cellIs" dxfId="13" priority="1" operator="greaterThan">
      <formula>0</formula>
    </cfRule>
  </conditionalFormatting>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B27"/>
  <sheetViews>
    <sheetView showRuler="0" workbookViewId="0">
      <selection activeCell="B5" sqref="B5"/>
    </sheetView>
  </sheetViews>
  <sheetFormatPr baseColWidth="10" defaultRowHeight="15" x14ac:dyDescent="0"/>
  <cols>
    <col min="1" max="1" width="34" bestFit="1" customWidth="1"/>
    <col min="2" max="2" width="14.6640625" bestFit="1" customWidth="1"/>
  </cols>
  <sheetData>
    <row r="1" spans="1:2" ht="18">
      <c r="A1" s="2" t="s">
        <v>184</v>
      </c>
      <c r="B1" s="18">
        <f>SUM(Questionnaire!B6:B14)</f>
        <v>89000</v>
      </c>
    </row>
    <row r="2" spans="1:2" ht="18">
      <c r="A2" s="2" t="s">
        <v>42</v>
      </c>
      <c r="B2" s="18">
        <f>(Three_Years_Of_Sales-Three_Years_Of_COGS)/36</f>
        <v>31710.3125</v>
      </c>
    </row>
    <row r="3" spans="1:2" ht="18">
      <c r="A3" s="2" t="s">
        <v>43</v>
      </c>
      <c r="B3" s="18">
        <f>PMT(Monthly_Interest_Rate,Debt_Payment_Periods,Loan_Principal)*-1</f>
        <v>1565.2918574982834</v>
      </c>
    </row>
    <row r="4" spans="1:2" ht="18">
      <c r="A4" s="2" t="s">
        <v>44</v>
      </c>
      <c r="B4" s="18">
        <f>Monthly_Break_Even_Sales_Point</f>
        <v>42793.110536742708</v>
      </c>
    </row>
    <row r="5" spans="1:2" ht="18">
      <c r="A5" s="2" t="s">
        <v>172</v>
      </c>
      <c r="B5" s="18">
        <f>Three_Years_Of_Income_Before_Taxes/36</f>
        <v>4536.6873091683856</v>
      </c>
    </row>
    <row r="26" spans="1:2" ht="18">
      <c r="A26" s="71" t="s">
        <v>164</v>
      </c>
      <c r="B26" s="18">
        <f>Venture_Capitalist_Valuation</f>
        <v>428588.16267031612</v>
      </c>
    </row>
    <row r="27" spans="1:2" ht="18">
      <c r="A27" s="71" t="s">
        <v>157</v>
      </c>
      <c r="B27" s="18">
        <f>DCF_NPV</f>
        <v>56127.827033416273</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dimension ref="A1:AM35"/>
  <sheetViews>
    <sheetView showRuler="0" workbookViewId="0">
      <selection activeCell="N28" sqref="N28"/>
    </sheetView>
  </sheetViews>
  <sheetFormatPr baseColWidth="10" defaultRowHeight="15" x14ac:dyDescent="0"/>
  <cols>
    <col min="1" max="1" width="26" bestFit="1" customWidth="1"/>
    <col min="3" max="13" width="12.5" bestFit="1" customWidth="1"/>
    <col min="14" max="14" width="14" bestFit="1" customWidth="1"/>
    <col min="15" max="25" width="12.5" bestFit="1" customWidth="1"/>
    <col min="26" max="26" width="14" bestFit="1" customWidth="1"/>
    <col min="27" max="27" width="11.5" bestFit="1" customWidth="1"/>
    <col min="28" max="37" width="12.5" bestFit="1" customWidth="1"/>
    <col min="38" max="38" width="14" bestFit="1" customWidth="1"/>
    <col min="39" max="39" width="13.83203125" bestFit="1" customWidth="1"/>
  </cols>
  <sheetData>
    <row r="1" spans="1:39" ht="20">
      <c r="B1" s="48"/>
      <c r="C1" s="137">
        <f>Questionnaire!B2</f>
        <v>2012</v>
      </c>
      <c r="D1" s="138"/>
      <c r="E1" s="138"/>
      <c r="F1" s="138"/>
      <c r="G1" s="138"/>
      <c r="H1" s="138"/>
      <c r="I1" s="138"/>
      <c r="J1" s="138"/>
      <c r="K1" s="138"/>
      <c r="L1" s="138"/>
      <c r="M1" s="138"/>
      <c r="N1" s="139"/>
      <c r="O1" s="138">
        <f>C1+1</f>
        <v>2013</v>
      </c>
      <c r="P1" s="138"/>
      <c r="Q1" s="138"/>
      <c r="R1" s="138"/>
      <c r="S1" s="138"/>
      <c r="T1" s="138"/>
      <c r="U1" s="138"/>
      <c r="V1" s="138"/>
      <c r="W1" s="138"/>
      <c r="X1" s="138"/>
      <c r="Y1" s="138"/>
      <c r="Z1" s="138"/>
      <c r="AA1" s="137">
        <f>O1+1</f>
        <v>2014</v>
      </c>
      <c r="AB1" s="138"/>
      <c r="AC1" s="138"/>
      <c r="AD1" s="138"/>
      <c r="AE1" s="138"/>
      <c r="AF1" s="138"/>
      <c r="AG1" s="138"/>
      <c r="AH1" s="138"/>
      <c r="AI1" s="138"/>
      <c r="AJ1" s="138"/>
      <c r="AK1" s="138"/>
      <c r="AL1" s="139"/>
      <c r="AM1" s="9" t="s">
        <v>59</v>
      </c>
    </row>
    <row r="2" spans="1:39" s="34" customFormat="1">
      <c r="B2" s="103">
        <v>0</v>
      </c>
      <c r="C2" s="104">
        <v>1</v>
      </c>
      <c r="D2" s="105">
        <v>2</v>
      </c>
      <c r="E2" s="105">
        <v>3</v>
      </c>
      <c r="F2" s="105">
        <v>4</v>
      </c>
      <c r="G2" s="105">
        <v>5</v>
      </c>
      <c r="H2" s="105">
        <v>6</v>
      </c>
      <c r="I2" s="105">
        <v>7</v>
      </c>
      <c r="J2" s="105">
        <v>8</v>
      </c>
      <c r="K2" s="105">
        <v>9</v>
      </c>
      <c r="L2" s="105">
        <v>10</v>
      </c>
      <c r="M2" s="105">
        <v>11</v>
      </c>
      <c r="N2" s="106">
        <v>12</v>
      </c>
      <c r="O2" s="105">
        <v>1</v>
      </c>
      <c r="P2" s="105">
        <v>2</v>
      </c>
      <c r="Q2" s="105">
        <v>3</v>
      </c>
      <c r="R2" s="105">
        <v>4</v>
      </c>
      <c r="S2" s="105">
        <v>5</v>
      </c>
      <c r="T2" s="105">
        <v>6</v>
      </c>
      <c r="U2" s="105">
        <v>7</v>
      </c>
      <c r="V2" s="105">
        <v>8</v>
      </c>
      <c r="W2" s="105">
        <v>9</v>
      </c>
      <c r="X2" s="105">
        <v>10</v>
      </c>
      <c r="Y2" s="105">
        <v>11</v>
      </c>
      <c r="Z2" s="105">
        <v>12</v>
      </c>
      <c r="AA2" s="104">
        <v>1</v>
      </c>
      <c r="AB2" s="105">
        <v>2</v>
      </c>
      <c r="AC2" s="105">
        <v>3</v>
      </c>
      <c r="AD2" s="105">
        <v>4</v>
      </c>
      <c r="AE2" s="105">
        <v>5</v>
      </c>
      <c r="AF2" s="105">
        <v>6</v>
      </c>
      <c r="AG2" s="105">
        <v>7</v>
      </c>
      <c r="AH2" s="105">
        <v>8</v>
      </c>
      <c r="AI2" s="105">
        <v>9</v>
      </c>
      <c r="AJ2" s="105">
        <v>10</v>
      </c>
      <c r="AK2" s="105">
        <v>11</v>
      </c>
      <c r="AL2" s="106">
        <v>12</v>
      </c>
    </row>
    <row r="3" spans="1:39" s="101" customFormat="1" ht="14">
      <c r="B3" s="102">
        <v>0</v>
      </c>
      <c r="C3" s="107">
        <v>1</v>
      </c>
      <c r="D3" s="108">
        <v>2</v>
      </c>
      <c r="E3" s="108">
        <v>3</v>
      </c>
      <c r="F3" s="108">
        <v>4</v>
      </c>
      <c r="G3" s="108">
        <v>5</v>
      </c>
      <c r="H3" s="108">
        <v>6</v>
      </c>
      <c r="I3" s="108">
        <v>7</v>
      </c>
      <c r="J3" s="108">
        <v>8</v>
      </c>
      <c r="K3" s="108">
        <v>9</v>
      </c>
      <c r="L3" s="108">
        <v>10</v>
      </c>
      <c r="M3" s="108">
        <v>11</v>
      </c>
      <c r="N3" s="108">
        <v>12</v>
      </c>
      <c r="O3" s="107">
        <v>13</v>
      </c>
      <c r="P3" s="108">
        <v>14</v>
      </c>
      <c r="Q3" s="108">
        <v>15</v>
      </c>
      <c r="R3" s="108">
        <v>16</v>
      </c>
      <c r="S3" s="108">
        <v>17</v>
      </c>
      <c r="T3" s="108">
        <v>18</v>
      </c>
      <c r="U3" s="108">
        <v>19</v>
      </c>
      <c r="V3" s="108">
        <v>20</v>
      </c>
      <c r="W3" s="108">
        <v>21</v>
      </c>
      <c r="X3" s="108">
        <v>22</v>
      </c>
      <c r="Y3" s="108">
        <v>23</v>
      </c>
      <c r="Z3" s="108">
        <v>24</v>
      </c>
      <c r="AA3" s="107">
        <v>25</v>
      </c>
      <c r="AB3" s="108">
        <v>26</v>
      </c>
      <c r="AC3" s="108">
        <v>27</v>
      </c>
      <c r="AD3" s="108">
        <v>28</v>
      </c>
      <c r="AE3" s="108">
        <v>29</v>
      </c>
      <c r="AF3" s="108">
        <v>30</v>
      </c>
      <c r="AG3" s="108">
        <v>31</v>
      </c>
      <c r="AH3" s="108">
        <v>32</v>
      </c>
      <c r="AI3" s="108">
        <v>33</v>
      </c>
      <c r="AJ3" s="108">
        <v>34</v>
      </c>
      <c r="AK3" s="108">
        <v>35</v>
      </c>
      <c r="AL3" s="109">
        <v>36</v>
      </c>
    </row>
    <row r="4" spans="1:39" s="33" customFormat="1" ht="12">
      <c r="B4" s="33" t="s">
        <v>54</v>
      </c>
      <c r="C4" s="37">
        <v>1</v>
      </c>
      <c r="D4" s="36">
        <f t="shared" ref="D4:AL4" si="0">C4+Monthly_Sales_Growth</f>
        <v>1.01</v>
      </c>
      <c r="E4" s="36">
        <f t="shared" si="0"/>
        <v>1.02</v>
      </c>
      <c r="F4" s="36">
        <f t="shared" si="0"/>
        <v>1.03</v>
      </c>
      <c r="G4" s="36">
        <f t="shared" si="0"/>
        <v>1.04</v>
      </c>
      <c r="H4" s="36">
        <f t="shared" si="0"/>
        <v>1.05</v>
      </c>
      <c r="I4" s="36">
        <f t="shared" si="0"/>
        <v>1.06</v>
      </c>
      <c r="J4" s="36">
        <f t="shared" si="0"/>
        <v>1.07</v>
      </c>
      <c r="K4" s="36">
        <f t="shared" si="0"/>
        <v>1.08</v>
      </c>
      <c r="L4" s="36">
        <f t="shared" si="0"/>
        <v>1.0900000000000001</v>
      </c>
      <c r="M4" s="36">
        <f t="shared" si="0"/>
        <v>1.1000000000000001</v>
      </c>
      <c r="N4" s="38">
        <f t="shared" si="0"/>
        <v>1.1100000000000001</v>
      </c>
      <c r="O4" s="36">
        <f t="shared" si="0"/>
        <v>1.1200000000000001</v>
      </c>
      <c r="P4" s="36">
        <f t="shared" si="0"/>
        <v>1.1300000000000001</v>
      </c>
      <c r="Q4" s="36">
        <f t="shared" si="0"/>
        <v>1.1400000000000001</v>
      </c>
      <c r="R4" s="36">
        <f t="shared" si="0"/>
        <v>1.1500000000000001</v>
      </c>
      <c r="S4" s="36">
        <f t="shared" si="0"/>
        <v>1.1600000000000001</v>
      </c>
      <c r="T4" s="36">
        <f t="shared" si="0"/>
        <v>1.1700000000000002</v>
      </c>
      <c r="U4" s="36">
        <f t="shared" si="0"/>
        <v>1.1800000000000002</v>
      </c>
      <c r="V4" s="36">
        <f t="shared" si="0"/>
        <v>1.1900000000000002</v>
      </c>
      <c r="W4" s="36">
        <f t="shared" si="0"/>
        <v>1.2000000000000002</v>
      </c>
      <c r="X4" s="36">
        <f t="shared" si="0"/>
        <v>1.2100000000000002</v>
      </c>
      <c r="Y4" s="36">
        <f t="shared" si="0"/>
        <v>1.2200000000000002</v>
      </c>
      <c r="Z4" s="36">
        <f t="shared" si="0"/>
        <v>1.2300000000000002</v>
      </c>
      <c r="AA4" s="37">
        <f t="shared" si="0"/>
        <v>1.2400000000000002</v>
      </c>
      <c r="AB4" s="36">
        <f t="shared" si="0"/>
        <v>1.2500000000000002</v>
      </c>
      <c r="AC4" s="36">
        <f t="shared" si="0"/>
        <v>1.2600000000000002</v>
      </c>
      <c r="AD4" s="36">
        <f t="shared" si="0"/>
        <v>1.2700000000000002</v>
      </c>
      <c r="AE4" s="36">
        <f t="shared" si="0"/>
        <v>1.2800000000000002</v>
      </c>
      <c r="AF4" s="36">
        <f t="shared" si="0"/>
        <v>1.2900000000000003</v>
      </c>
      <c r="AG4" s="36">
        <f t="shared" si="0"/>
        <v>1.3000000000000003</v>
      </c>
      <c r="AH4" s="36">
        <f t="shared" si="0"/>
        <v>1.3100000000000003</v>
      </c>
      <c r="AI4" s="36">
        <f t="shared" si="0"/>
        <v>1.3200000000000003</v>
      </c>
      <c r="AJ4" s="36">
        <f t="shared" si="0"/>
        <v>1.3300000000000003</v>
      </c>
      <c r="AK4" s="36">
        <f t="shared" si="0"/>
        <v>1.3400000000000003</v>
      </c>
      <c r="AL4" s="38">
        <f t="shared" si="0"/>
        <v>1.3500000000000003</v>
      </c>
    </row>
    <row r="5" spans="1:39" ht="20">
      <c r="A5" s="35" t="s">
        <v>55</v>
      </c>
      <c r="C5" s="21"/>
      <c r="D5" s="23"/>
      <c r="E5" s="23"/>
      <c r="F5" s="23"/>
      <c r="G5" s="23"/>
      <c r="H5" s="23"/>
      <c r="I5" s="23"/>
      <c r="J5" s="23"/>
      <c r="K5" s="23"/>
      <c r="L5" s="23"/>
      <c r="M5" s="23"/>
      <c r="N5" s="27"/>
      <c r="O5" s="23"/>
      <c r="P5" s="23"/>
      <c r="Q5" s="23"/>
      <c r="R5" s="23"/>
      <c r="S5" s="23"/>
      <c r="T5" s="23"/>
      <c r="U5" s="23"/>
      <c r="V5" s="23"/>
      <c r="W5" s="23"/>
      <c r="X5" s="23"/>
      <c r="Y5" s="23"/>
      <c r="Z5" s="23"/>
      <c r="AA5" s="21"/>
      <c r="AB5" s="23"/>
      <c r="AC5" s="23"/>
      <c r="AD5" s="23"/>
      <c r="AE5" s="23"/>
      <c r="AF5" s="23"/>
      <c r="AG5" s="23"/>
      <c r="AH5" s="23"/>
      <c r="AI5" s="23"/>
      <c r="AJ5" s="23"/>
      <c r="AK5" s="23"/>
      <c r="AL5" s="27"/>
    </row>
    <row r="6" spans="1:39">
      <c r="A6" s="34" t="s">
        <v>34</v>
      </c>
      <c r="C6" s="39">
        <f>Initial_Monthly_Sales_Estimate*Projections!C4</f>
        <v>42500</v>
      </c>
      <c r="D6" s="22">
        <f>Initial_Monthly_Sales_Estimate*Projections!D4</f>
        <v>42925</v>
      </c>
      <c r="E6" s="22">
        <f>Initial_Monthly_Sales_Estimate*Projections!E4</f>
        <v>43350</v>
      </c>
      <c r="F6" s="22">
        <f>Initial_Monthly_Sales_Estimate*Projections!F4</f>
        <v>43775</v>
      </c>
      <c r="G6" s="22">
        <f>Initial_Monthly_Sales_Estimate*Projections!G4</f>
        <v>44200</v>
      </c>
      <c r="H6" s="22">
        <f>Initial_Monthly_Sales_Estimate*Projections!H4</f>
        <v>44625</v>
      </c>
      <c r="I6" s="22">
        <f>Initial_Monthly_Sales_Estimate*Projections!I4</f>
        <v>45050</v>
      </c>
      <c r="J6" s="22">
        <f>Initial_Monthly_Sales_Estimate*Projections!J4</f>
        <v>45475</v>
      </c>
      <c r="K6" s="22">
        <f>Initial_Monthly_Sales_Estimate*Projections!K4</f>
        <v>45900</v>
      </c>
      <c r="L6" s="22">
        <f>Initial_Monthly_Sales_Estimate*Projections!L4</f>
        <v>46325</v>
      </c>
      <c r="M6" s="22">
        <f>Initial_Monthly_Sales_Estimate*Projections!M4</f>
        <v>46750.000000000007</v>
      </c>
      <c r="N6" s="40">
        <f>Initial_Monthly_Sales_Estimate*Projections!N4</f>
        <v>47175.000000000007</v>
      </c>
      <c r="O6" s="22">
        <f>Initial_Monthly_Sales_Estimate*Projections!O4</f>
        <v>47600.000000000007</v>
      </c>
      <c r="P6" s="22">
        <f>Initial_Monthly_Sales_Estimate*Projections!P4</f>
        <v>48025.000000000007</v>
      </c>
      <c r="Q6" s="22">
        <f>Initial_Monthly_Sales_Estimate*Projections!Q4</f>
        <v>48450.000000000007</v>
      </c>
      <c r="R6" s="22">
        <f>Initial_Monthly_Sales_Estimate*Projections!R4</f>
        <v>48875.000000000007</v>
      </c>
      <c r="S6" s="22">
        <f>Initial_Monthly_Sales_Estimate*Projections!S4</f>
        <v>49300.000000000007</v>
      </c>
      <c r="T6" s="22">
        <f>Initial_Monthly_Sales_Estimate*Projections!T4</f>
        <v>49725.000000000007</v>
      </c>
      <c r="U6" s="22">
        <f>Initial_Monthly_Sales_Estimate*Projections!U4</f>
        <v>50150.000000000007</v>
      </c>
      <c r="V6" s="22">
        <f>Initial_Monthly_Sales_Estimate*Projections!V4</f>
        <v>50575.000000000007</v>
      </c>
      <c r="W6" s="22">
        <f>Initial_Monthly_Sales_Estimate*Projections!W4</f>
        <v>51000.000000000007</v>
      </c>
      <c r="X6" s="22">
        <f>Initial_Monthly_Sales_Estimate*Projections!X4</f>
        <v>51425.000000000007</v>
      </c>
      <c r="Y6" s="22">
        <f>Initial_Monthly_Sales_Estimate*Projections!Y4</f>
        <v>51850.000000000007</v>
      </c>
      <c r="Z6" s="22">
        <f>Initial_Monthly_Sales_Estimate*Projections!Z4</f>
        <v>52275.000000000007</v>
      </c>
      <c r="AA6" s="39">
        <f>Initial_Monthly_Sales_Estimate*Projections!AA4</f>
        <v>52700.000000000007</v>
      </c>
      <c r="AB6" s="22">
        <f>Initial_Monthly_Sales_Estimate*Projections!AB4</f>
        <v>53125.000000000007</v>
      </c>
      <c r="AC6" s="22">
        <f>Initial_Monthly_Sales_Estimate*Projections!AC4</f>
        <v>53550.000000000007</v>
      </c>
      <c r="AD6" s="22">
        <f>Initial_Monthly_Sales_Estimate*Projections!AD4</f>
        <v>53975.000000000007</v>
      </c>
      <c r="AE6" s="22">
        <f>Initial_Monthly_Sales_Estimate*Projections!AE4</f>
        <v>54400.000000000007</v>
      </c>
      <c r="AF6" s="22">
        <f>Initial_Monthly_Sales_Estimate*Projections!AF4</f>
        <v>54825.000000000015</v>
      </c>
      <c r="AG6" s="22">
        <f>Initial_Monthly_Sales_Estimate*Projections!AG4</f>
        <v>55250.000000000015</v>
      </c>
      <c r="AH6" s="22">
        <f>Initial_Monthly_Sales_Estimate*Projections!AH4</f>
        <v>55675.000000000015</v>
      </c>
      <c r="AI6" s="22">
        <f>Initial_Monthly_Sales_Estimate*Projections!AI4</f>
        <v>56100.000000000015</v>
      </c>
      <c r="AJ6" s="22">
        <f>Initial_Monthly_Sales_Estimate*Projections!AJ4</f>
        <v>56525.000000000015</v>
      </c>
      <c r="AK6" s="22">
        <f>Initial_Monthly_Sales_Estimate*Projections!AK4</f>
        <v>56950.000000000015</v>
      </c>
      <c r="AL6" s="40">
        <f>Initial_Monthly_Sales_Estimate*Projections!AL4</f>
        <v>57375.000000000015</v>
      </c>
      <c r="AM6" s="46">
        <f>SUM(C6:AL6)</f>
        <v>1797750</v>
      </c>
    </row>
    <row r="7" spans="1:39" ht="20">
      <c r="A7" s="35" t="s">
        <v>56</v>
      </c>
      <c r="C7" s="21"/>
      <c r="D7" s="23"/>
      <c r="E7" s="23"/>
      <c r="F7" s="23"/>
      <c r="G7" s="23"/>
      <c r="H7" s="23"/>
      <c r="I7" s="23"/>
      <c r="J7" s="23"/>
      <c r="K7" s="23"/>
      <c r="L7" s="23"/>
      <c r="M7" s="23"/>
      <c r="N7" s="27"/>
      <c r="O7" s="23"/>
      <c r="P7" s="23"/>
      <c r="Q7" s="23"/>
      <c r="R7" s="23"/>
      <c r="S7" s="23"/>
      <c r="T7" s="23"/>
      <c r="U7" s="23"/>
      <c r="V7" s="23"/>
      <c r="W7" s="23"/>
      <c r="X7" s="23"/>
      <c r="Y7" s="23"/>
      <c r="Z7" s="23"/>
      <c r="AA7" s="21"/>
      <c r="AB7" s="23"/>
      <c r="AC7" s="23"/>
      <c r="AD7" s="23"/>
      <c r="AE7" s="23"/>
      <c r="AF7" s="23"/>
      <c r="AG7" s="23"/>
      <c r="AH7" s="23"/>
      <c r="AI7" s="23"/>
      <c r="AJ7" s="23"/>
      <c r="AK7" s="23"/>
      <c r="AL7" s="27"/>
    </row>
    <row r="8" spans="1:39">
      <c r="A8" s="34" t="s">
        <v>56</v>
      </c>
      <c r="C8" s="39">
        <f t="shared" ref="C8:AL8" si="1">C6*Average_COGS</f>
        <v>15512.5</v>
      </c>
      <c r="D8" s="22">
        <f t="shared" si="1"/>
        <v>15667.625</v>
      </c>
      <c r="E8" s="22">
        <f t="shared" si="1"/>
        <v>15822.75</v>
      </c>
      <c r="F8" s="22">
        <f t="shared" si="1"/>
        <v>15977.875</v>
      </c>
      <c r="G8" s="22">
        <f t="shared" si="1"/>
        <v>16133</v>
      </c>
      <c r="H8" s="22">
        <f t="shared" si="1"/>
        <v>16288.125</v>
      </c>
      <c r="I8" s="22">
        <f t="shared" si="1"/>
        <v>16443.25</v>
      </c>
      <c r="J8" s="22">
        <f t="shared" si="1"/>
        <v>16598.375</v>
      </c>
      <c r="K8" s="22">
        <f t="shared" si="1"/>
        <v>16753.5</v>
      </c>
      <c r="L8" s="22">
        <f t="shared" si="1"/>
        <v>16908.625</v>
      </c>
      <c r="M8" s="22">
        <f t="shared" si="1"/>
        <v>17063.750000000004</v>
      </c>
      <c r="N8" s="40">
        <f t="shared" si="1"/>
        <v>17218.875000000004</v>
      </c>
      <c r="O8" s="22">
        <f t="shared" si="1"/>
        <v>17374.000000000004</v>
      </c>
      <c r="P8" s="22">
        <f t="shared" si="1"/>
        <v>17529.125000000004</v>
      </c>
      <c r="Q8" s="22">
        <f t="shared" si="1"/>
        <v>17684.250000000004</v>
      </c>
      <c r="R8" s="22">
        <f t="shared" si="1"/>
        <v>17839.375000000004</v>
      </c>
      <c r="S8" s="22">
        <f t="shared" si="1"/>
        <v>17994.500000000004</v>
      </c>
      <c r="T8" s="22">
        <f t="shared" si="1"/>
        <v>18149.625000000004</v>
      </c>
      <c r="U8" s="22">
        <f t="shared" si="1"/>
        <v>18304.750000000004</v>
      </c>
      <c r="V8" s="22">
        <f t="shared" si="1"/>
        <v>18459.875000000004</v>
      </c>
      <c r="W8" s="22">
        <f t="shared" si="1"/>
        <v>18615.000000000004</v>
      </c>
      <c r="X8" s="22">
        <f t="shared" si="1"/>
        <v>18770.125000000004</v>
      </c>
      <c r="Y8" s="22">
        <f t="shared" si="1"/>
        <v>18925.250000000004</v>
      </c>
      <c r="Z8" s="22">
        <f t="shared" si="1"/>
        <v>19080.375000000004</v>
      </c>
      <c r="AA8" s="39">
        <f t="shared" si="1"/>
        <v>19235.500000000004</v>
      </c>
      <c r="AB8" s="22">
        <f t="shared" si="1"/>
        <v>19390.625000000004</v>
      </c>
      <c r="AC8" s="22">
        <f t="shared" si="1"/>
        <v>19545.750000000004</v>
      </c>
      <c r="AD8" s="22">
        <f t="shared" si="1"/>
        <v>19700.875000000004</v>
      </c>
      <c r="AE8" s="22">
        <f t="shared" si="1"/>
        <v>19856.000000000004</v>
      </c>
      <c r="AF8" s="22">
        <f t="shared" si="1"/>
        <v>20011.125000000004</v>
      </c>
      <c r="AG8" s="22">
        <f t="shared" si="1"/>
        <v>20166.250000000004</v>
      </c>
      <c r="AH8" s="22">
        <f t="shared" si="1"/>
        <v>20321.375000000004</v>
      </c>
      <c r="AI8" s="22">
        <f t="shared" si="1"/>
        <v>20476.500000000004</v>
      </c>
      <c r="AJ8" s="22">
        <f t="shared" si="1"/>
        <v>20631.625000000004</v>
      </c>
      <c r="AK8" s="22">
        <f t="shared" si="1"/>
        <v>20786.750000000004</v>
      </c>
      <c r="AL8" s="40">
        <f t="shared" si="1"/>
        <v>20941.875000000004</v>
      </c>
      <c r="AM8" s="46">
        <f>SUM(C8:AL8)</f>
        <v>656178.75</v>
      </c>
    </row>
    <row r="9" spans="1:39" ht="20">
      <c r="A9" s="35" t="s">
        <v>57</v>
      </c>
      <c r="C9" s="21"/>
      <c r="D9" s="23"/>
      <c r="E9" s="23"/>
      <c r="F9" s="23"/>
      <c r="G9" s="23"/>
      <c r="H9" s="23"/>
      <c r="I9" s="23"/>
      <c r="J9" s="23"/>
      <c r="K9" s="23"/>
      <c r="L9" s="23"/>
      <c r="M9" s="23"/>
      <c r="N9" s="27"/>
      <c r="O9" s="23"/>
      <c r="P9" s="23"/>
      <c r="Q9" s="23"/>
      <c r="R9" s="23"/>
      <c r="S9" s="23"/>
      <c r="T9" s="23"/>
      <c r="U9" s="23"/>
      <c r="V9" s="23"/>
      <c r="W9" s="23"/>
      <c r="X9" s="23"/>
      <c r="Y9" s="23"/>
      <c r="Z9" s="23"/>
      <c r="AA9" s="21"/>
      <c r="AB9" s="23"/>
      <c r="AC9" s="23"/>
      <c r="AD9" s="23"/>
      <c r="AE9" s="23"/>
      <c r="AF9" s="23"/>
      <c r="AG9" s="23"/>
      <c r="AH9" s="23"/>
      <c r="AI9" s="23"/>
      <c r="AJ9" s="23"/>
      <c r="AK9" s="23"/>
      <c r="AL9" s="27"/>
    </row>
    <row r="10" spans="1:39">
      <c r="A10" t="s">
        <v>19</v>
      </c>
      <c r="C10" s="39">
        <f t="shared" ref="C10:AL10" si="2">Monthly_Rent</f>
        <v>10000</v>
      </c>
      <c r="D10" s="22">
        <f t="shared" si="2"/>
        <v>10000</v>
      </c>
      <c r="E10" s="22">
        <f t="shared" si="2"/>
        <v>10000</v>
      </c>
      <c r="F10" s="22">
        <f t="shared" si="2"/>
        <v>10000</v>
      </c>
      <c r="G10" s="22">
        <f t="shared" si="2"/>
        <v>10000</v>
      </c>
      <c r="H10" s="22">
        <f t="shared" si="2"/>
        <v>10000</v>
      </c>
      <c r="I10" s="22">
        <f t="shared" si="2"/>
        <v>10000</v>
      </c>
      <c r="J10" s="22">
        <f t="shared" si="2"/>
        <v>10000</v>
      </c>
      <c r="K10" s="22">
        <f t="shared" si="2"/>
        <v>10000</v>
      </c>
      <c r="L10" s="22">
        <f t="shared" si="2"/>
        <v>10000</v>
      </c>
      <c r="M10" s="22">
        <f t="shared" si="2"/>
        <v>10000</v>
      </c>
      <c r="N10" s="40">
        <f t="shared" si="2"/>
        <v>10000</v>
      </c>
      <c r="O10" s="22">
        <f t="shared" si="2"/>
        <v>10000</v>
      </c>
      <c r="P10" s="22">
        <f t="shared" si="2"/>
        <v>10000</v>
      </c>
      <c r="Q10" s="22">
        <f t="shared" si="2"/>
        <v>10000</v>
      </c>
      <c r="R10" s="22">
        <f t="shared" si="2"/>
        <v>10000</v>
      </c>
      <c r="S10" s="22">
        <f t="shared" si="2"/>
        <v>10000</v>
      </c>
      <c r="T10" s="22">
        <f t="shared" si="2"/>
        <v>10000</v>
      </c>
      <c r="U10" s="22">
        <f t="shared" si="2"/>
        <v>10000</v>
      </c>
      <c r="V10" s="22">
        <f t="shared" si="2"/>
        <v>10000</v>
      </c>
      <c r="W10" s="22">
        <f t="shared" si="2"/>
        <v>10000</v>
      </c>
      <c r="X10" s="22">
        <f t="shared" si="2"/>
        <v>10000</v>
      </c>
      <c r="Y10" s="22">
        <f t="shared" si="2"/>
        <v>10000</v>
      </c>
      <c r="Z10" s="22">
        <f t="shared" si="2"/>
        <v>10000</v>
      </c>
      <c r="AA10" s="39">
        <f t="shared" si="2"/>
        <v>10000</v>
      </c>
      <c r="AB10" s="22">
        <f t="shared" si="2"/>
        <v>10000</v>
      </c>
      <c r="AC10" s="22">
        <f t="shared" si="2"/>
        <v>10000</v>
      </c>
      <c r="AD10" s="22">
        <f t="shared" si="2"/>
        <v>10000</v>
      </c>
      <c r="AE10" s="22">
        <f t="shared" si="2"/>
        <v>10000</v>
      </c>
      <c r="AF10" s="22">
        <f t="shared" si="2"/>
        <v>10000</v>
      </c>
      <c r="AG10" s="22">
        <f t="shared" si="2"/>
        <v>10000</v>
      </c>
      <c r="AH10" s="22">
        <f t="shared" si="2"/>
        <v>10000</v>
      </c>
      <c r="AI10" s="22">
        <f t="shared" si="2"/>
        <v>10000</v>
      </c>
      <c r="AJ10" s="22">
        <f t="shared" si="2"/>
        <v>10000</v>
      </c>
      <c r="AK10" s="22">
        <f t="shared" si="2"/>
        <v>10000</v>
      </c>
      <c r="AL10" s="40">
        <f t="shared" si="2"/>
        <v>10000</v>
      </c>
    </row>
    <row r="11" spans="1:39">
      <c r="A11" s="34" t="s">
        <v>20</v>
      </c>
      <c r="C11" s="39">
        <f t="shared" ref="C11:AL11" si="3">Monthly_Utilities_Expense</f>
        <v>2000</v>
      </c>
      <c r="D11" s="22">
        <f t="shared" si="3"/>
        <v>2000</v>
      </c>
      <c r="E11" s="22">
        <f t="shared" si="3"/>
        <v>2000</v>
      </c>
      <c r="F11" s="22">
        <f t="shared" si="3"/>
        <v>2000</v>
      </c>
      <c r="G11" s="22">
        <f t="shared" si="3"/>
        <v>2000</v>
      </c>
      <c r="H11" s="22">
        <f t="shared" si="3"/>
        <v>2000</v>
      </c>
      <c r="I11" s="22">
        <f t="shared" si="3"/>
        <v>2000</v>
      </c>
      <c r="J11" s="22">
        <f t="shared" si="3"/>
        <v>2000</v>
      </c>
      <c r="K11" s="22">
        <f t="shared" si="3"/>
        <v>2000</v>
      </c>
      <c r="L11" s="22">
        <f t="shared" si="3"/>
        <v>2000</v>
      </c>
      <c r="M11" s="22">
        <f t="shared" si="3"/>
        <v>2000</v>
      </c>
      <c r="N11" s="40">
        <f t="shared" si="3"/>
        <v>2000</v>
      </c>
      <c r="O11" s="22">
        <f t="shared" si="3"/>
        <v>2000</v>
      </c>
      <c r="P11" s="22">
        <f t="shared" si="3"/>
        <v>2000</v>
      </c>
      <c r="Q11" s="22">
        <f t="shared" si="3"/>
        <v>2000</v>
      </c>
      <c r="R11" s="22">
        <f t="shared" si="3"/>
        <v>2000</v>
      </c>
      <c r="S11" s="22">
        <f t="shared" si="3"/>
        <v>2000</v>
      </c>
      <c r="T11" s="22">
        <f t="shared" si="3"/>
        <v>2000</v>
      </c>
      <c r="U11" s="22">
        <f t="shared" si="3"/>
        <v>2000</v>
      </c>
      <c r="V11" s="22">
        <f t="shared" si="3"/>
        <v>2000</v>
      </c>
      <c r="W11" s="22">
        <f t="shared" si="3"/>
        <v>2000</v>
      </c>
      <c r="X11" s="22">
        <f t="shared" si="3"/>
        <v>2000</v>
      </c>
      <c r="Y11" s="22">
        <f t="shared" si="3"/>
        <v>2000</v>
      </c>
      <c r="Z11" s="22">
        <f t="shared" si="3"/>
        <v>2000</v>
      </c>
      <c r="AA11" s="39">
        <f t="shared" si="3"/>
        <v>2000</v>
      </c>
      <c r="AB11" s="22">
        <f t="shared" si="3"/>
        <v>2000</v>
      </c>
      <c r="AC11" s="22">
        <f t="shared" si="3"/>
        <v>2000</v>
      </c>
      <c r="AD11" s="22">
        <f t="shared" si="3"/>
        <v>2000</v>
      </c>
      <c r="AE11" s="22">
        <f t="shared" si="3"/>
        <v>2000</v>
      </c>
      <c r="AF11" s="22">
        <f t="shared" si="3"/>
        <v>2000</v>
      </c>
      <c r="AG11" s="22">
        <f t="shared" si="3"/>
        <v>2000</v>
      </c>
      <c r="AH11" s="22">
        <f t="shared" si="3"/>
        <v>2000</v>
      </c>
      <c r="AI11" s="22">
        <f t="shared" si="3"/>
        <v>2000</v>
      </c>
      <c r="AJ11" s="22">
        <f t="shared" si="3"/>
        <v>2000</v>
      </c>
      <c r="AK11" s="22">
        <f t="shared" si="3"/>
        <v>2000</v>
      </c>
      <c r="AL11" s="40">
        <f t="shared" si="3"/>
        <v>2000</v>
      </c>
    </row>
    <row r="12" spans="1:39">
      <c r="A12" s="34" t="s">
        <v>60</v>
      </c>
      <c r="C12" s="39">
        <f t="shared" ref="C12:AL12" si="4">Monthly_Maintenance_Expense</f>
        <v>500</v>
      </c>
      <c r="D12" s="22">
        <f t="shared" si="4"/>
        <v>500</v>
      </c>
      <c r="E12" s="22">
        <f t="shared" si="4"/>
        <v>500</v>
      </c>
      <c r="F12" s="22">
        <f t="shared" si="4"/>
        <v>500</v>
      </c>
      <c r="G12" s="22">
        <f t="shared" si="4"/>
        <v>500</v>
      </c>
      <c r="H12" s="22">
        <f t="shared" si="4"/>
        <v>500</v>
      </c>
      <c r="I12" s="22">
        <f t="shared" si="4"/>
        <v>500</v>
      </c>
      <c r="J12" s="22">
        <f t="shared" si="4"/>
        <v>500</v>
      </c>
      <c r="K12" s="22">
        <f t="shared" si="4"/>
        <v>500</v>
      </c>
      <c r="L12" s="22">
        <f t="shared" si="4"/>
        <v>500</v>
      </c>
      <c r="M12" s="22">
        <f t="shared" si="4"/>
        <v>500</v>
      </c>
      <c r="N12" s="40">
        <f t="shared" si="4"/>
        <v>500</v>
      </c>
      <c r="O12" s="22">
        <f t="shared" si="4"/>
        <v>500</v>
      </c>
      <c r="P12" s="22">
        <f t="shared" si="4"/>
        <v>500</v>
      </c>
      <c r="Q12" s="22">
        <f t="shared" si="4"/>
        <v>500</v>
      </c>
      <c r="R12" s="22">
        <f t="shared" si="4"/>
        <v>500</v>
      </c>
      <c r="S12" s="22">
        <f t="shared" si="4"/>
        <v>500</v>
      </c>
      <c r="T12" s="22">
        <f t="shared" si="4"/>
        <v>500</v>
      </c>
      <c r="U12" s="22">
        <f t="shared" si="4"/>
        <v>500</v>
      </c>
      <c r="V12" s="22">
        <f t="shared" si="4"/>
        <v>500</v>
      </c>
      <c r="W12" s="22">
        <f t="shared" si="4"/>
        <v>500</v>
      </c>
      <c r="X12" s="22">
        <f t="shared" si="4"/>
        <v>500</v>
      </c>
      <c r="Y12" s="22">
        <f t="shared" si="4"/>
        <v>500</v>
      </c>
      <c r="Z12" s="22">
        <f t="shared" si="4"/>
        <v>500</v>
      </c>
      <c r="AA12" s="39">
        <f t="shared" si="4"/>
        <v>500</v>
      </c>
      <c r="AB12" s="22">
        <f t="shared" si="4"/>
        <v>500</v>
      </c>
      <c r="AC12" s="22">
        <f t="shared" si="4"/>
        <v>500</v>
      </c>
      <c r="AD12" s="22">
        <f t="shared" si="4"/>
        <v>500</v>
      </c>
      <c r="AE12" s="22">
        <f t="shared" si="4"/>
        <v>500</v>
      </c>
      <c r="AF12" s="22">
        <f t="shared" si="4"/>
        <v>500</v>
      </c>
      <c r="AG12" s="22">
        <f t="shared" si="4"/>
        <v>500</v>
      </c>
      <c r="AH12" s="22">
        <f t="shared" si="4"/>
        <v>500</v>
      </c>
      <c r="AI12" s="22">
        <f t="shared" si="4"/>
        <v>500</v>
      </c>
      <c r="AJ12" s="22">
        <f t="shared" si="4"/>
        <v>500</v>
      </c>
      <c r="AK12" s="22">
        <f t="shared" si="4"/>
        <v>500</v>
      </c>
      <c r="AL12" s="40">
        <f t="shared" si="4"/>
        <v>500</v>
      </c>
    </row>
    <row r="13" spans="1:39">
      <c r="A13" s="34" t="s">
        <v>22</v>
      </c>
      <c r="C13" s="39">
        <f t="shared" ref="C13:AL13" si="5">Monthly_Insurance_Expense</f>
        <v>275</v>
      </c>
      <c r="D13" s="22">
        <f t="shared" si="5"/>
        <v>275</v>
      </c>
      <c r="E13" s="22">
        <f t="shared" si="5"/>
        <v>275</v>
      </c>
      <c r="F13" s="22">
        <f t="shared" si="5"/>
        <v>275</v>
      </c>
      <c r="G13" s="22">
        <f t="shared" si="5"/>
        <v>275</v>
      </c>
      <c r="H13" s="22">
        <f t="shared" si="5"/>
        <v>275</v>
      </c>
      <c r="I13" s="22">
        <f t="shared" si="5"/>
        <v>275</v>
      </c>
      <c r="J13" s="22">
        <f t="shared" si="5"/>
        <v>275</v>
      </c>
      <c r="K13" s="22">
        <f t="shared" si="5"/>
        <v>275</v>
      </c>
      <c r="L13" s="22">
        <f t="shared" si="5"/>
        <v>275</v>
      </c>
      <c r="M13" s="22">
        <f t="shared" si="5"/>
        <v>275</v>
      </c>
      <c r="N13" s="40">
        <f t="shared" si="5"/>
        <v>275</v>
      </c>
      <c r="O13" s="22">
        <f t="shared" si="5"/>
        <v>275</v>
      </c>
      <c r="P13" s="22">
        <f t="shared" si="5"/>
        <v>275</v>
      </c>
      <c r="Q13" s="22">
        <f t="shared" si="5"/>
        <v>275</v>
      </c>
      <c r="R13" s="22">
        <f t="shared" si="5"/>
        <v>275</v>
      </c>
      <c r="S13" s="22">
        <f t="shared" si="5"/>
        <v>275</v>
      </c>
      <c r="T13" s="22">
        <f t="shared" si="5"/>
        <v>275</v>
      </c>
      <c r="U13" s="22">
        <f t="shared" si="5"/>
        <v>275</v>
      </c>
      <c r="V13" s="22">
        <f t="shared" si="5"/>
        <v>275</v>
      </c>
      <c r="W13" s="22">
        <f t="shared" si="5"/>
        <v>275</v>
      </c>
      <c r="X13" s="22">
        <f t="shared" si="5"/>
        <v>275</v>
      </c>
      <c r="Y13" s="22">
        <f t="shared" si="5"/>
        <v>275</v>
      </c>
      <c r="Z13" s="22">
        <f t="shared" si="5"/>
        <v>275</v>
      </c>
      <c r="AA13" s="39">
        <f t="shared" si="5"/>
        <v>275</v>
      </c>
      <c r="AB13" s="22">
        <f t="shared" si="5"/>
        <v>275</v>
      </c>
      <c r="AC13" s="22">
        <f t="shared" si="5"/>
        <v>275</v>
      </c>
      <c r="AD13" s="22">
        <f t="shared" si="5"/>
        <v>275</v>
      </c>
      <c r="AE13" s="22">
        <f t="shared" si="5"/>
        <v>275</v>
      </c>
      <c r="AF13" s="22">
        <f t="shared" si="5"/>
        <v>275</v>
      </c>
      <c r="AG13" s="22">
        <f t="shared" si="5"/>
        <v>275</v>
      </c>
      <c r="AH13" s="22">
        <f t="shared" si="5"/>
        <v>275</v>
      </c>
      <c r="AI13" s="22">
        <f t="shared" si="5"/>
        <v>275</v>
      </c>
      <c r="AJ13" s="22">
        <f t="shared" si="5"/>
        <v>275</v>
      </c>
      <c r="AK13" s="22">
        <f t="shared" si="5"/>
        <v>275</v>
      </c>
      <c r="AL13" s="40">
        <f t="shared" si="5"/>
        <v>275</v>
      </c>
    </row>
    <row r="14" spans="1:39">
      <c r="A14" s="34" t="s">
        <v>61</v>
      </c>
      <c r="C14" s="39">
        <f t="shared" ref="C14:N14" si="6">Year_1_Compensation/12</f>
        <v>4166.666666666667</v>
      </c>
      <c r="D14" s="22">
        <f t="shared" si="6"/>
        <v>4166.666666666667</v>
      </c>
      <c r="E14" s="22">
        <f t="shared" si="6"/>
        <v>4166.666666666667</v>
      </c>
      <c r="F14" s="22">
        <f t="shared" si="6"/>
        <v>4166.666666666667</v>
      </c>
      <c r="G14" s="22">
        <f t="shared" si="6"/>
        <v>4166.666666666667</v>
      </c>
      <c r="H14" s="22">
        <f t="shared" si="6"/>
        <v>4166.666666666667</v>
      </c>
      <c r="I14" s="22">
        <f t="shared" si="6"/>
        <v>4166.666666666667</v>
      </c>
      <c r="J14" s="22">
        <f t="shared" si="6"/>
        <v>4166.666666666667</v>
      </c>
      <c r="K14" s="22">
        <f t="shared" si="6"/>
        <v>4166.666666666667</v>
      </c>
      <c r="L14" s="22">
        <f t="shared" si="6"/>
        <v>4166.666666666667</v>
      </c>
      <c r="M14" s="22">
        <f t="shared" si="6"/>
        <v>4166.666666666667</v>
      </c>
      <c r="N14" s="40">
        <f t="shared" si="6"/>
        <v>4166.666666666667</v>
      </c>
      <c r="O14" s="22">
        <f t="shared" ref="O14:Z14" si="7">Year_2_Compensation/12</f>
        <v>8333.3333333333339</v>
      </c>
      <c r="P14" s="22">
        <f t="shared" si="7"/>
        <v>8333.3333333333339</v>
      </c>
      <c r="Q14" s="22">
        <f t="shared" si="7"/>
        <v>8333.3333333333339</v>
      </c>
      <c r="R14" s="22">
        <f t="shared" si="7"/>
        <v>8333.3333333333339</v>
      </c>
      <c r="S14" s="22">
        <f t="shared" si="7"/>
        <v>8333.3333333333339</v>
      </c>
      <c r="T14" s="22">
        <f t="shared" si="7"/>
        <v>8333.3333333333339</v>
      </c>
      <c r="U14" s="22">
        <f t="shared" si="7"/>
        <v>8333.3333333333339</v>
      </c>
      <c r="V14" s="22">
        <f t="shared" si="7"/>
        <v>8333.3333333333339</v>
      </c>
      <c r="W14" s="22">
        <f t="shared" si="7"/>
        <v>8333.3333333333339</v>
      </c>
      <c r="X14" s="22">
        <f t="shared" si="7"/>
        <v>8333.3333333333339</v>
      </c>
      <c r="Y14" s="22">
        <f t="shared" si="7"/>
        <v>8333.3333333333339</v>
      </c>
      <c r="Z14" s="22">
        <f t="shared" si="7"/>
        <v>8333.3333333333339</v>
      </c>
      <c r="AA14" s="39">
        <f t="shared" ref="AA14:AL14" si="8">Year_3_Compensation/12</f>
        <v>12500</v>
      </c>
      <c r="AB14" s="22">
        <f t="shared" si="8"/>
        <v>12500</v>
      </c>
      <c r="AC14" s="22">
        <f t="shared" si="8"/>
        <v>12500</v>
      </c>
      <c r="AD14" s="22">
        <f t="shared" si="8"/>
        <v>12500</v>
      </c>
      <c r="AE14" s="22">
        <f t="shared" si="8"/>
        <v>12500</v>
      </c>
      <c r="AF14" s="22">
        <f t="shared" si="8"/>
        <v>12500</v>
      </c>
      <c r="AG14" s="22">
        <f t="shared" si="8"/>
        <v>12500</v>
      </c>
      <c r="AH14" s="22">
        <f t="shared" si="8"/>
        <v>12500</v>
      </c>
      <c r="AI14" s="22">
        <f t="shared" si="8"/>
        <v>12500</v>
      </c>
      <c r="AJ14" s="22">
        <f t="shared" si="8"/>
        <v>12500</v>
      </c>
      <c r="AK14" s="22">
        <f t="shared" si="8"/>
        <v>12500</v>
      </c>
      <c r="AL14" s="40">
        <f t="shared" si="8"/>
        <v>12500</v>
      </c>
    </row>
    <row r="15" spans="1:39">
      <c r="A15" s="34" t="s">
        <v>62</v>
      </c>
      <c r="C15" s="39">
        <f t="shared" ref="C15:AL15" si="9">Monthly_Marketing_Expense</f>
        <v>2500</v>
      </c>
      <c r="D15" s="22">
        <f t="shared" si="9"/>
        <v>2500</v>
      </c>
      <c r="E15" s="22">
        <f t="shared" si="9"/>
        <v>2500</v>
      </c>
      <c r="F15" s="22">
        <f t="shared" si="9"/>
        <v>2500</v>
      </c>
      <c r="G15" s="22">
        <f t="shared" si="9"/>
        <v>2500</v>
      </c>
      <c r="H15" s="22">
        <f t="shared" si="9"/>
        <v>2500</v>
      </c>
      <c r="I15" s="22">
        <f t="shared" si="9"/>
        <v>2500</v>
      </c>
      <c r="J15" s="22">
        <f t="shared" si="9"/>
        <v>2500</v>
      </c>
      <c r="K15" s="22">
        <f t="shared" si="9"/>
        <v>2500</v>
      </c>
      <c r="L15" s="22">
        <f t="shared" si="9"/>
        <v>2500</v>
      </c>
      <c r="M15" s="22">
        <f t="shared" si="9"/>
        <v>2500</v>
      </c>
      <c r="N15" s="40">
        <f t="shared" si="9"/>
        <v>2500</v>
      </c>
      <c r="O15" s="22">
        <f t="shared" si="9"/>
        <v>2500</v>
      </c>
      <c r="P15" s="22">
        <f t="shared" si="9"/>
        <v>2500</v>
      </c>
      <c r="Q15" s="22">
        <f t="shared" si="9"/>
        <v>2500</v>
      </c>
      <c r="R15" s="22">
        <f t="shared" si="9"/>
        <v>2500</v>
      </c>
      <c r="S15" s="22">
        <f t="shared" si="9"/>
        <v>2500</v>
      </c>
      <c r="T15" s="22">
        <f t="shared" si="9"/>
        <v>2500</v>
      </c>
      <c r="U15" s="22">
        <f t="shared" si="9"/>
        <v>2500</v>
      </c>
      <c r="V15" s="22">
        <f t="shared" si="9"/>
        <v>2500</v>
      </c>
      <c r="W15" s="22">
        <f t="shared" si="9"/>
        <v>2500</v>
      </c>
      <c r="X15" s="22">
        <f t="shared" si="9"/>
        <v>2500</v>
      </c>
      <c r="Y15" s="22">
        <f t="shared" si="9"/>
        <v>2500</v>
      </c>
      <c r="Z15" s="22">
        <f t="shared" si="9"/>
        <v>2500</v>
      </c>
      <c r="AA15" s="39">
        <f t="shared" si="9"/>
        <v>2500</v>
      </c>
      <c r="AB15" s="22">
        <f t="shared" si="9"/>
        <v>2500</v>
      </c>
      <c r="AC15" s="22">
        <f t="shared" si="9"/>
        <v>2500</v>
      </c>
      <c r="AD15" s="22">
        <f t="shared" si="9"/>
        <v>2500</v>
      </c>
      <c r="AE15" s="22">
        <f t="shared" si="9"/>
        <v>2500</v>
      </c>
      <c r="AF15" s="22">
        <f t="shared" si="9"/>
        <v>2500</v>
      </c>
      <c r="AG15" s="22">
        <f t="shared" si="9"/>
        <v>2500</v>
      </c>
      <c r="AH15" s="22">
        <f t="shared" si="9"/>
        <v>2500</v>
      </c>
      <c r="AI15" s="22">
        <f t="shared" si="9"/>
        <v>2500</v>
      </c>
      <c r="AJ15" s="22">
        <f t="shared" si="9"/>
        <v>2500</v>
      </c>
      <c r="AK15" s="22">
        <f t="shared" si="9"/>
        <v>2500</v>
      </c>
      <c r="AL15" s="40">
        <f t="shared" si="9"/>
        <v>2500</v>
      </c>
    </row>
    <row r="16" spans="1:39">
      <c r="A16" s="34" t="s">
        <v>63</v>
      </c>
      <c r="C16" s="39">
        <f t="shared" ref="C16:AL16" si="10">Additional_Monthly_Expenses</f>
        <v>2000</v>
      </c>
      <c r="D16" s="22">
        <f t="shared" si="10"/>
        <v>2000</v>
      </c>
      <c r="E16" s="22">
        <f t="shared" si="10"/>
        <v>2000</v>
      </c>
      <c r="F16" s="22">
        <f t="shared" si="10"/>
        <v>2000</v>
      </c>
      <c r="G16" s="22">
        <f t="shared" si="10"/>
        <v>2000</v>
      </c>
      <c r="H16" s="22">
        <f t="shared" si="10"/>
        <v>2000</v>
      </c>
      <c r="I16" s="22">
        <f t="shared" si="10"/>
        <v>2000</v>
      </c>
      <c r="J16" s="22">
        <f t="shared" si="10"/>
        <v>2000</v>
      </c>
      <c r="K16" s="22">
        <f t="shared" si="10"/>
        <v>2000</v>
      </c>
      <c r="L16" s="22">
        <f t="shared" si="10"/>
        <v>2000</v>
      </c>
      <c r="M16" s="22">
        <f t="shared" si="10"/>
        <v>2000</v>
      </c>
      <c r="N16" s="40">
        <f t="shared" si="10"/>
        <v>2000</v>
      </c>
      <c r="O16" s="22">
        <f t="shared" si="10"/>
        <v>2000</v>
      </c>
      <c r="P16" s="22">
        <f t="shared" si="10"/>
        <v>2000</v>
      </c>
      <c r="Q16" s="22">
        <f t="shared" si="10"/>
        <v>2000</v>
      </c>
      <c r="R16" s="22">
        <f t="shared" si="10"/>
        <v>2000</v>
      </c>
      <c r="S16" s="22">
        <f t="shared" si="10"/>
        <v>2000</v>
      </c>
      <c r="T16" s="22">
        <f t="shared" si="10"/>
        <v>2000</v>
      </c>
      <c r="U16" s="22">
        <f t="shared" si="10"/>
        <v>2000</v>
      </c>
      <c r="V16" s="22">
        <f t="shared" si="10"/>
        <v>2000</v>
      </c>
      <c r="W16" s="22">
        <f t="shared" si="10"/>
        <v>2000</v>
      </c>
      <c r="X16" s="22">
        <f t="shared" si="10"/>
        <v>2000</v>
      </c>
      <c r="Y16" s="22">
        <f t="shared" si="10"/>
        <v>2000</v>
      </c>
      <c r="Z16" s="22">
        <f t="shared" si="10"/>
        <v>2000</v>
      </c>
      <c r="AA16" s="39">
        <f t="shared" si="10"/>
        <v>2000</v>
      </c>
      <c r="AB16" s="22">
        <f t="shared" si="10"/>
        <v>2000</v>
      </c>
      <c r="AC16" s="22">
        <f t="shared" si="10"/>
        <v>2000</v>
      </c>
      <c r="AD16" s="22">
        <f t="shared" si="10"/>
        <v>2000</v>
      </c>
      <c r="AE16" s="22">
        <f t="shared" si="10"/>
        <v>2000</v>
      </c>
      <c r="AF16" s="22">
        <f t="shared" si="10"/>
        <v>2000</v>
      </c>
      <c r="AG16" s="22">
        <f t="shared" si="10"/>
        <v>2000</v>
      </c>
      <c r="AH16" s="22">
        <f t="shared" si="10"/>
        <v>2000</v>
      </c>
      <c r="AI16" s="22">
        <f t="shared" si="10"/>
        <v>2000</v>
      </c>
      <c r="AJ16" s="22">
        <f t="shared" si="10"/>
        <v>2000</v>
      </c>
      <c r="AK16" s="22">
        <f t="shared" si="10"/>
        <v>2000</v>
      </c>
      <c r="AL16" s="40">
        <f t="shared" si="10"/>
        <v>2000</v>
      </c>
    </row>
    <row r="17" spans="1:39">
      <c r="A17" s="34" t="s">
        <v>185</v>
      </c>
      <c r="C17" s="39">
        <f t="shared" ref="C17:AL17" si="11">Maximum_Monthly_Debt_Payment</f>
        <v>1565.2918574982834</v>
      </c>
      <c r="D17" s="22">
        <f t="shared" si="11"/>
        <v>1565.2918574982834</v>
      </c>
      <c r="E17" s="22">
        <f t="shared" si="11"/>
        <v>1565.2918574982834</v>
      </c>
      <c r="F17" s="22">
        <f t="shared" si="11"/>
        <v>1565.2918574982834</v>
      </c>
      <c r="G17" s="22">
        <f t="shared" si="11"/>
        <v>1565.2918574982834</v>
      </c>
      <c r="H17" s="22">
        <f t="shared" si="11"/>
        <v>1565.2918574982834</v>
      </c>
      <c r="I17" s="22">
        <f t="shared" si="11"/>
        <v>1565.2918574982834</v>
      </c>
      <c r="J17" s="22">
        <f t="shared" si="11"/>
        <v>1565.2918574982834</v>
      </c>
      <c r="K17" s="22">
        <f t="shared" si="11"/>
        <v>1565.2918574982834</v>
      </c>
      <c r="L17" s="22">
        <f t="shared" si="11"/>
        <v>1565.2918574982834</v>
      </c>
      <c r="M17" s="22">
        <f t="shared" si="11"/>
        <v>1565.2918574982834</v>
      </c>
      <c r="N17" s="40">
        <f t="shared" si="11"/>
        <v>1565.2918574982834</v>
      </c>
      <c r="O17" s="22">
        <f t="shared" si="11"/>
        <v>1565.2918574982834</v>
      </c>
      <c r="P17" s="22">
        <f t="shared" si="11"/>
        <v>1565.2918574982834</v>
      </c>
      <c r="Q17" s="22">
        <f t="shared" si="11"/>
        <v>1565.2918574982834</v>
      </c>
      <c r="R17" s="22">
        <f t="shared" si="11"/>
        <v>1565.2918574982834</v>
      </c>
      <c r="S17" s="22">
        <f t="shared" si="11"/>
        <v>1565.2918574982834</v>
      </c>
      <c r="T17" s="22">
        <f t="shared" si="11"/>
        <v>1565.2918574982834</v>
      </c>
      <c r="U17" s="22">
        <f t="shared" si="11"/>
        <v>1565.2918574982834</v>
      </c>
      <c r="V17" s="22">
        <f t="shared" si="11"/>
        <v>1565.2918574982834</v>
      </c>
      <c r="W17" s="22">
        <f t="shared" si="11"/>
        <v>1565.2918574982834</v>
      </c>
      <c r="X17" s="22">
        <f t="shared" si="11"/>
        <v>1565.2918574982834</v>
      </c>
      <c r="Y17" s="22">
        <f t="shared" si="11"/>
        <v>1565.2918574982834</v>
      </c>
      <c r="Z17" s="22">
        <f t="shared" si="11"/>
        <v>1565.2918574982834</v>
      </c>
      <c r="AA17" s="39">
        <f t="shared" si="11"/>
        <v>1565.2918574982834</v>
      </c>
      <c r="AB17" s="22">
        <f t="shared" si="11"/>
        <v>1565.2918574982834</v>
      </c>
      <c r="AC17" s="22">
        <f t="shared" si="11"/>
        <v>1565.2918574982834</v>
      </c>
      <c r="AD17" s="22">
        <f t="shared" si="11"/>
        <v>1565.2918574982834</v>
      </c>
      <c r="AE17" s="22">
        <f t="shared" si="11"/>
        <v>1565.2918574982834</v>
      </c>
      <c r="AF17" s="22">
        <f t="shared" si="11"/>
        <v>1565.2918574982834</v>
      </c>
      <c r="AG17" s="22">
        <f t="shared" si="11"/>
        <v>1565.2918574982834</v>
      </c>
      <c r="AH17" s="22">
        <f t="shared" si="11"/>
        <v>1565.2918574982834</v>
      </c>
      <c r="AI17" s="22">
        <f t="shared" si="11"/>
        <v>1565.2918574982834</v>
      </c>
      <c r="AJ17" s="22">
        <f t="shared" si="11"/>
        <v>1565.2918574982834</v>
      </c>
      <c r="AK17" s="22">
        <f t="shared" si="11"/>
        <v>1565.2918574982834</v>
      </c>
      <c r="AL17" s="40">
        <f t="shared" si="11"/>
        <v>1565.2918574982834</v>
      </c>
    </row>
    <row r="18" spans="1:39" ht="18">
      <c r="A18" s="2" t="s">
        <v>58</v>
      </c>
      <c r="C18" s="41">
        <f>SUM(C10:C17)</f>
        <v>23006.958524164951</v>
      </c>
      <c r="D18" s="20">
        <f t="shared" ref="D18:AL18" si="12">SUM(D10:D17)</f>
        <v>23006.958524164951</v>
      </c>
      <c r="E18" s="20">
        <f t="shared" si="12"/>
        <v>23006.958524164951</v>
      </c>
      <c r="F18" s="20">
        <f t="shared" si="12"/>
        <v>23006.958524164951</v>
      </c>
      <c r="G18" s="20">
        <f t="shared" si="12"/>
        <v>23006.958524164951</v>
      </c>
      <c r="H18" s="20">
        <f t="shared" si="12"/>
        <v>23006.958524164951</v>
      </c>
      <c r="I18" s="20">
        <f t="shared" si="12"/>
        <v>23006.958524164951</v>
      </c>
      <c r="J18" s="20">
        <f t="shared" si="12"/>
        <v>23006.958524164951</v>
      </c>
      <c r="K18" s="20">
        <f t="shared" si="12"/>
        <v>23006.958524164951</v>
      </c>
      <c r="L18" s="20">
        <f t="shared" si="12"/>
        <v>23006.958524164951</v>
      </c>
      <c r="M18" s="20">
        <f t="shared" si="12"/>
        <v>23006.958524164951</v>
      </c>
      <c r="N18" s="42">
        <f t="shared" si="12"/>
        <v>23006.958524164951</v>
      </c>
      <c r="O18" s="20">
        <f t="shared" si="12"/>
        <v>27173.625190831619</v>
      </c>
      <c r="P18" s="20">
        <f t="shared" si="12"/>
        <v>27173.625190831619</v>
      </c>
      <c r="Q18" s="20">
        <f t="shared" si="12"/>
        <v>27173.625190831619</v>
      </c>
      <c r="R18" s="20">
        <f t="shared" si="12"/>
        <v>27173.625190831619</v>
      </c>
      <c r="S18" s="20">
        <f t="shared" si="12"/>
        <v>27173.625190831619</v>
      </c>
      <c r="T18" s="20">
        <f t="shared" si="12"/>
        <v>27173.625190831619</v>
      </c>
      <c r="U18" s="20">
        <f t="shared" si="12"/>
        <v>27173.625190831619</v>
      </c>
      <c r="V18" s="20">
        <f t="shared" si="12"/>
        <v>27173.625190831619</v>
      </c>
      <c r="W18" s="20">
        <f t="shared" si="12"/>
        <v>27173.625190831619</v>
      </c>
      <c r="X18" s="20">
        <f t="shared" si="12"/>
        <v>27173.625190831619</v>
      </c>
      <c r="Y18" s="20">
        <f t="shared" si="12"/>
        <v>27173.625190831619</v>
      </c>
      <c r="Z18" s="20">
        <f t="shared" si="12"/>
        <v>27173.625190831619</v>
      </c>
      <c r="AA18" s="41">
        <f t="shared" si="12"/>
        <v>31340.291857498283</v>
      </c>
      <c r="AB18" s="20">
        <f t="shared" si="12"/>
        <v>31340.291857498283</v>
      </c>
      <c r="AC18" s="20">
        <f t="shared" si="12"/>
        <v>31340.291857498283</v>
      </c>
      <c r="AD18" s="20">
        <f t="shared" si="12"/>
        <v>31340.291857498283</v>
      </c>
      <c r="AE18" s="20">
        <f t="shared" si="12"/>
        <v>31340.291857498283</v>
      </c>
      <c r="AF18" s="20">
        <f t="shared" si="12"/>
        <v>31340.291857498283</v>
      </c>
      <c r="AG18" s="20">
        <f t="shared" si="12"/>
        <v>31340.291857498283</v>
      </c>
      <c r="AH18" s="20">
        <f t="shared" si="12"/>
        <v>31340.291857498283</v>
      </c>
      <c r="AI18" s="20">
        <f t="shared" si="12"/>
        <v>31340.291857498283</v>
      </c>
      <c r="AJ18" s="20">
        <f t="shared" si="12"/>
        <v>31340.291857498283</v>
      </c>
      <c r="AK18" s="20">
        <f t="shared" si="12"/>
        <v>31340.291857498283</v>
      </c>
      <c r="AL18" s="42">
        <f t="shared" si="12"/>
        <v>31340.291857498283</v>
      </c>
      <c r="AM18" s="46">
        <f>SUM(C18:AL18)</f>
        <v>978250.50686993753</v>
      </c>
    </row>
    <row r="19" spans="1:39">
      <c r="C19" s="21"/>
      <c r="D19" s="23"/>
      <c r="E19" s="23"/>
      <c r="F19" s="23"/>
      <c r="G19" s="23"/>
      <c r="H19" s="23"/>
      <c r="I19" s="23"/>
      <c r="J19" s="23"/>
      <c r="K19" s="23"/>
      <c r="L19" s="23"/>
      <c r="M19" s="23"/>
      <c r="N19" s="27"/>
      <c r="O19" s="23"/>
      <c r="P19" s="23"/>
      <c r="Q19" s="23"/>
      <c r="R19" s="23"/>
      <c r="S19" s="23"/>
      <c r="T19" s="23"/>
      <c r="U19" s="23"/>
      <c r="V19" s="23"/>
      <c r="W19" s="23"/>
      <c r="X19" s="23"/>
      <c r="Y19" s="23"/>
      <c r="Z19" s="23"/>
      <c r="AA19" s="21"/>
      <c r="AB19" s="23"/>
      <c r="AC19" s="23"/>
      <c r="AD19" s="23"/>
      <c r="AE19" s="23"/>
      <c r="AF19" s="23"/>
      <c r="AG19" s="23"/>
      <c r="AH19" s="23"/>
      <c r="AI19" s="23"/>
      <c r="AJ19" s="23"/>
      <c r="AK19" s="23"/>
      <c r="AL19" s="27"/>
    </row>
    <row r="20" spans="1:39" ht="20">
      <c r="A20" s="35" t="s">
        <v>142</v>
      </c>
      <c r="C20" s="110">
        <f>C6-C8-C18</f>
        <v>3980.5414758350489</v>
      </c>
      <c r="D20" s="111">
        <f t="shared" ref="D20:AL20" si="13">D6-D8-D18</f>
        <v>4250.4164758350489</v>
      </c>
      <c r="E20" s="111">
        <f t="shared" si="13"/>
        <v>4520.2914758350489</v>
      </c>
      <c r="F20" s="111">
        <f t="shared" si="13"/>
        <v>4790.1664758350489</v>
      </c>
      <c r="G20" s="111">
        <f t="shared" si="13"/>
        <v>5060.0414758350489</v>
      </c>
      <c r="H20" s="111">
        <f t="shared" si="13"/>
        <v>5329.9164758350489</v>
      </c>
      <c r="I20" s="111">
        <f t="shared" si="13"/>
        <v>5599.7914758350489</v>
      </c>
      <c r="J20" s="111">
        <f t="shared" si="13"/>
        <v>5869.6664758350489</v>
      </c>
      <c r="K20" s="111">
        <f t="shared" si="13"/>
        <v>6139.5414758350489</v>
      </c>
      <c r="L20" s="111">
        <f t="shared" si="13"/>
        <v>6409.4164758350489</v>
      </c>
      <c r="M20" s="111">
        <f t="shared" si="13"/>
        <v>6679.2914758350526</v>
      </c>
      <c r="N20" s="112">
        <f t="shared" si="13"/>
        <v>6949.1664758350526</v>
      </c>
      <c r="O20" s="111">
        <f t="shared" si="13"/>
        <v>3052.3748091683847</v>
      </c>
      <c r="P20" s="111">
        <f t="shared" si="13"/>
        <v>3322.2498091683847</v>
      </c>
      <c r="Q20" s="111">
        <f t="shared" si="13"/>
        <v>3592.1248091683847</v>
      </c>
      <c r="R20" s="111">
        <f t="shared" si="13"/>
        <v>3861.9998091683847</v>
      </c>
      <c r="S20" s="111">
        <f t="shared" si="13"/>
        <v>4131.8748091683847</v>
      </c>
      <c r="T20" s="111">
        <f t="shared" si="13"/>
        <v>4401.7498091683847</v>
      </c>
      <c r="U20" s="111">
        <f t="shared" si="13"/>
        <v>4671.6248091683847</v>
      </c>
      <c r="V20" s="111">
        <f t="shared" si="13"/>
        <v>4941.4998091683847</v>
      </c>
      <c r="W20" s="111">
        <f t="shared" si="13"/>
        <v>5211.3748091683847</v>
      </c>
      <c r="X20" s="111">
        <f t="shared" si="13"/>
        <v>5481.2498091683847</v>
      </c>
      <c r="Y20" s="111">
        <f t="shared" si="13"/>
        <v>5751.124809168381</v>
      </c>
      <c r="Z20" s="111">
        <f t="shared" si="13"/>
        <v>6020.999809168381</v>
      </c>
      <c r="AA20" s="110">
        <f t="shared" si="13"/>
        <v>2124.2081425017168</v>
      </c>
      <c r="AB20" s="111">
        <f t="shared" si="13"/>
        <v>2394.0831425017168</v>
      </c>
      <c r="AC20" s="111">
        <f t="shared" si="13"/>
        <v>2663.9581425017168</v>
      </c>
      <c r="AD20" s="111">
        <f t="shared" si="13"/>
        <v>2933.8331425017168</v>
      </c>
      <c r="AE20" s="111">
        <f t="shared" si="13"/>
        <v>3203.7081425017168</v>
      </c>
      <c r="AF20" s="111">
        <f t="shared" si="13"/>
        <v>3473.5831425017313</v>
      </c>
      <c r="AG20" s="111">
        <f t="shared" si="13"/>
        <v>3743.4581425017313</v>
      </c>
      <c r="AH20" s="111">
        <f t="shared" si="13"/>
        <v>4013.3331425017313</v>
      </c>
      <c r="AI20" s="111">
        <f t="shared" si="13"/>
        <v>4283.2081425017313</v>
      </c>
      <c r="AJ20" s="111">
        <f t="shared" si="13"/>
        <v>4553.0831425017313</v>
      </c>
      <c r="AK20" s="111">
        <f t="shared" si="13"/>
        <v>4822.9581425017313</v>
      </c>
      <c r="AL20" s="112">
        <f t="shared" si="13"/>
        <v>5092.8331425017313</v>
      </c>
      <c r="AM20" s="82">
        <f>SUM(C20:AL20)</f>
        <v>163320.74313006189</v>
      </c>
    </row>
    <row r="21" spans="1:39" s="34" customFormat="1">
      <c r="A21" s="81"/>
      <c r="C21" s="113"/>
      <c r="D21" s="114"/>
      <c r="E21" s="114"/>
      <c r="F21" s="114"/>
      <c r="G21" s="114"/>
      <c r="H21" s="114"/>
      <c r="I21" s="114"/>
      <c r="J21" s="114"/>
      <c r="K21" s="114"/>
      <c r="L21" s="114"/>
      <c r="M21" s="114"/>
      <c r="N21" s="115"/>
      <c r="O21" s="114"/>
      <c r="P21" s="114"/>
      <c r="Q21" s="114"/>
      <c r="R21" s="114"/>
      <c r="S21" s="114"/>
      <c r="T21" s="114"/>
      <c r="U21" s="114"/>
      <c r="V21" s="114"/>
      <c r="W21" s="114"/>
      <c r="X21" s="114"/>
      <c r="Y21" s="114"/>
      <c r="Z21" s="114"/>
      <c r="AA21" s="113"/>
      <c r="AB21" s="114"/>
      <c r="AC21" s="114"/>
      <c r="AD21" s="114"/>
      <c r="AE21" s="114"/>
      <c r="AF21" s="114"/>
      <c r="AG21" s="114"/>
      <c r="AH21" s="114"/>
      <c r="AI21" s="114"/>
      <c r="AJ21" s="114"/>
      <c r="AK21" s="114"/>
      <c r="AL21" s="115"/>
      <c r="AM21" s="114"/>
    </row>
    <row r="22" spans="1:39" s="34" customFormat="1">
      <c r="A22" s="34" t="s">
        <v>173</v>
      </c>
      <c r="C22" s="66">
        <f t="shared" ref="C22:AL22" si="14">IF(C20&gt;0,C20*Effective_Annual_Tax_Rate,0)</f>
        <v>1592.2165903340197</v>
      </c>
      <c r="D22" s="67">
        <f t="shared" si="14"/>
        <v>1700.1665903340197</v>
      </c>
      <c r="E22" s="67">
        <f t="shared" si="14"/>
        <v>1808.1165903340197</v>
      </c>
      <c r="F22" s="67">
        <f t="shared" si="14"/>
        <v>1916.0665903340196</v>
      </c>
      <c r="G22" s="67">
        <f t="shared" si="14"/>
        <v>2024.0165903340196</v>
      </c>
      <c r="H22" s="67">
        <f t="shared" si="14"/>
        <v>2131.9665903340197</v>
      </c>
      <c r="I22" s="67">
        <f t="shared" si="14"/>
        <v>2239.9165903340195</v>
      </c>
      <c r="J22" s="67">
        <f t="shared" si="14"/>
        <v>2347.8665903340197</v>
      </c>
      <c r="K22" s="67">
        <f t="shared" si="14"/>
        <v>2455.8165903340196</v>
      </c>
      <c r="L22" s="67">
        <f t="shared" si="14"/>
        <v>2563.7665903340198</v>
      </c>
      <c r="M22" s="67">
        <f t="shared" si="14"/>
        <v>2671.716590334021</v>
      </c>
      <c r="N22" s="68">
        <f t="shared" si="14"/>
        <v>2779.6665903340213</v>
      </c>
      <c r="O22" s="67">
        <f t="shared" si="14"/>
        <v>1220.9499236673539</v>
      </c>
      <c r="P22" s="67">
        <f t="shared" si="14"/>
        <v>1328.899923667354</v>
      </c>
      <c r="Q22" s="67">
        <f t="shared" si="14"/>
        <v>1436.849923667354</v>
      </c>
      <c r="R22" s="67">
        <f t="shared" si="14"/>
        <v>1544.7999236673541</v>
      </c>
      <c r="S22" s="67">
        <f t="shared" si="14"/>
        <v>1652.7499236673539</v>
      </c>
      <c r="T22" s="67">
        <f t="shared" si="14"/>
        <v>1760.6999236673539</v>
      </c>
      <c r="U22" s="67">
        <f t="shared" si="14"/>
        <v>1868.649923667354</v>
      </c>
      <c r="V22" s="67">
        <f t="shared" si="14"/>
        <v>1976.599923667354</v>
      </c>
      <c r="W22" s="67">
        <f t="shared" si="14"/>
        <v>2084.5499236673541</v>
      </c>
      <c r="X22" s="67">
        <f t="shared" si="14"/>
        <v>2192.4999236673539</v>
      </c>
      <c r="Y22" s="67">
        <f t="shared" si="14"/>
        <v>2300.4499236673523</v>
      </c>
      <c r="Z22" s="68">
        <f t="shared" si="14"/>
        <v>2408.3999236673526</v>
      </c>
      <c r="AA22" s="67">
        <f t="shared" si="14"/>
        <v>849.68325700068681</v>
      </c>
      <c r="AB22" s="67">
        <f t="shared" si="14"/>
        <v>957.63325700068674</v>
      </c>
      <c r="AC22" s="67">
        <f t="shared" si="14"/>
        <v>1065.5832570006867</v>
      </c>
      <c r="AD22" s="67">
        <f t="shared" si="14"/>
        <v>1173.5332570006867</v>
      </c>
      <c r="AE22" s="67">
        <f t="shared" si="14"/>
        <v>1281.4832570006868</v>
      </c>
      <c r="AF22" s="67">
        <f t="shared" si="14"/>
        <v>1389.4332570006927</v>
      </c>
      <c r="AG22" s="67">
        <f t="shared" si="14"/>
        <v>1497.3832570006925</v>
      </c>
      <c r="AH22" s="67">
        <f t="shared" si="14"/>
        <v>1605.3332570006926</v>
      </c>
      <c r="AI22" s="67">
        <f t="shared" si="14"/>
        <v>1713.2832570006926</v>
      </c>
      <c r="AJ22" s="67">
        <f t="shared" si="14"/>
        <v>1821.2332570006927</v>
      </c>
      <c r="AK22" s="67">
        <f t="shared" si="14"/>
        <v>1929.1832570006927</v>
      </c>
      <c r="AL22" s="68">
        <f t="shared" si="14"/>
        <v>2037.1332570006925</v>
      </c>
      <c r="AM22" s="69"/>
    </row>
    <row r="23" spans="1:39">
      <c r="C23" s="21"/>
      <c r="D23" s="23"/>
      <c r="E23" s="23"/>
      <c r="F23" s="23"/>
      <c r="G23" s="23"/>
      <c r="H23" s="23"/>
      <c r="I23" s="23"/>
      <c r="J23" s="23"/>
      <c r="K23" s="23"/>
      <c r="L23" s="23"/>
      <c r="M23" s="23"/>
      <c r="N23" s="27"/>
      <c r="O23" s="23"/>
      <c r="P23" s="23"/>
      <c r="Q23" s="23"/>
      <c r="R23" s="23"/>
      <c r="S23" s="23"/>
      <c r="T23" s="23"/>
      <c r="U23" s="23"/>
      <c r="V23" s="23"/>
      <c r="W23" s="23"/>
      <c r="X23" s="23"/>
      <c r="Y23" s="23"/>
      <c r="Z23" s="23"/>
      <c r="AA23" s="21"/>
      <c r="AB23" s="23"/>
      <c r="AC23" s="23"/>
      <c r="AD23" s="23"/>
      <c r="AE23" s="23"/>
      <c r="AF23" s="23"/>
      <c r="AG23" s="23"/>
      <c r="AH23" s="23"/>
      <c r="AI23" s="23"/>
      <c r="AJ23" s="23"/>
      <c r="AK23" s="23"/>
      <c r="AL23" s="27"/>
    </row>
    <row r="24" spans="1:39">
      <c r="A24" t="s">
        <v>65</v>
      </c>
      <c r="B24" s="4">
        <f>Start_Up_Expenses-Cash_On_Hand_Contingency_Funds</f>
        <v>79000</v>
      </c>
      <c r="C24" s="39">
        <f>C8+C18+C22</f>
        <v>40111.675114498968</v>
      </c>
      <c r="D24" s="22">
        <f t="shared" ref="D24:AL24" si="15">D8+D18+D22</f>
        <v>40374.750114498966</v>
      </c>
      <c r="E24" s="22">
        <f t="shared" si="15"/>
        <v>40637.82511449897</v>
      </c>
      <c r="F24" s="22">
        <f t="shared" si="15"/>
        <v>40900.900114498967</v>
      </c>
      <c r="G24" s="22">
        <f t="shared" si="15"/>
        <v>41163.975114498964</v>
      </c>
      <c r="H24" s="22">
        <f t="shared" si="15"/>
        <v>41427.050114498968</v>
      </c>
      <c r="I24" s="22">
        <f t="shared" si="15"/>
        <v>41690.125114498966</v>
      </c>
      <c r="J24" s="22">
        <f t="shared" si="15"/>
        <v>41953.20011449897</v>
      </c>
      <c r="K24" s="22">
        <f t="shared" si="15"/>
        <v>42216.275114498967</v>
      </c>
      <c r="L24" s="22">
        <f t="shared" si="15"/>
        <v>42479.350114498964</v>
      </c>
      <c r="M24" s="22">
        <f t="shared" si="15"/>
        <v>42742.425114498976</v>
      </c>
      <c r="N24" s="40">
        <f t="shared" si="15"/>
        <v>43005.500114498973</v>
      </c>
      <c r="O24" s="22">
        <f t="shared" si="15"/>
        <v>45768.57511449897</v>
      </c>
      <c r="P24" s="22">
        <f t="shared" si="15"/>
        <v>46031.650114498974</v>
      </c>
      <c r="Q24" s="22">
        <f t="shared" si="15"/>
        <v>46294.725114498971</v>
      </c>
      <c r="R24" s="22">
        <f t="shared" si="15"/>
        <v>46557.800114498976</v>
      </c>
      <c r="S24" s="22">
        <f t="shared" si="15"/>
        <v>46820.875114498973</v>
      </c>
      <c r="T24" s="22">
        <f t="shared" si="15"/>
        <v>47083.95011449897</v>
      </c>
      <c r="U24" s="22">
        <f t="shared" si="15"/>
        <v>47347.025114498974</v>
      </c>
      <c r="V24" s="22">
        <f t="shared" si="15"/>
        <v>47610.100114498971</v>
      </c>
      <c r="W24" s="22">
        <f t="shared" si="15"/>
        <v>47873.175114498976</v>
      </c>
      <c r="X24" s="22">
        <f t="shared" si="15"/>
        <v>48136.250114498973</v>
      </c>
      <c r="Y24" s="22">
        <f t="shared" si="15"/>
        <v>48399.32511449897</v>
      </c>
      <c r="Z24" s="22">
        <f t="shared" si="15"/>
        <v>48662.400114498974</v>
      </c>
      <c r="AA24" s="39">
        <f t="shared" si="15"/>
        <v>51425.475114498979</v>
      </c>
      <c r="AB24" s="22">
        <f t="shared" si="15"/>
        <v>51688.550114498976</v>
      </c>
      <c r="AC24" s="22">
        <f t="shared" si="15"/>
        <v>51951.62511449898</v>
      </c>
      <c r="AD24" s="22">
        <f t="shared" si="15"/>
        <v>52214.700114498977</v>
      </c>
      <c r="AE24" s="22">
        <f t="shared" si="15"/>
        <v>52477.775114498974</v>
      </c>
      <c r="AF24" s="22">
        <f t="shared" si="15"/>
        <v>52740.850114498986</v>
      </c>
      <c r="AG24" s="22">
        <f t="shared" si="15"/>
        <v>53003.925114498983</v>
      </c>
      <c r="AH24" s="22">
        <f t="shared" si="15"/>
        <v>53267.00011449898</v>
      </c>
      <c r="AI24" s="22">
        <f t="shared" si="15"/>
        <v>53530.075114498984</v>
      </c>
      <c r="AJ24" s="22">
        <f t="shared" si="15"/>
        <v>53793.150114498982</v>
      </c>
      <c r="AK24" s="22">
        <f t="shared" si="15"/>
        <v>54056.225114498986</v>
      </c>
      <c r="AL24" s="40">
        <f t="shared" si="15"/>
        <v>54319.300114498983</v>
      </c>
    </row>
    <row r="25" spans="1:39">
      <c r="A25" t="s">
        <v>66</v>
      </c>
      <c r="B25" s="4">
        <f>Capital_Needed+Contributed_Capital</f>
        <v>90000</v>
      </c>
      <c r="C25" s="39">
        <f>C6</f>
        <v>42500</v>
      </c>
      <c r="D25" s="22">
        <f t="shared" ref="D25:AL25" si="16">D6</f>
        <v>42925</v>
      </c>
      <c r="E25" s="22">
        <f t="shared" si="16"/>
        <v>43350</v>
      </c>
      <c r="F25" s="22">
        <f t="shared" si="16"/>
        <v>43775</v>
      </c>
      <c r="G25" s="22">
        <f t="shared" si="16"/>
        <v>44200</v>
      </c>
      <c r="H25" s="22">
        <f t="shared" si="16"/>
        <v>44625</v>
      </c>
      <c r="I25" s="22">
        <f t="shared" si="16"/>
        <v>45050</v>
      </c>
      <c r="J25" s="22">
        <f t="shared" si="16"/>
        <v>45475</v>
      </c>
      <c r="K25" s="22">
        <f t="shared" si="16"/>
        <v>45900</v>
      </c>
      <c r="L25" s="22">
        <f t="shared" si="16"/>
        <v>46325</v>
      </c>
      <c r="M25" s="22">
        <f t="shared" si="16"/>
        <v>46750.000000000007</v>
      </c>
      <c r="N25" s="40">
        <f t="shared" si="16"/>
        <v>47175.000000000007</v>
      </c>
      <c r="O25" s="22">
        <f t="shared" si="16"/>
        <v>47600.000000000007</v>
      </c>
      <c r="P25" s="22">
        <f t="shared" si="16"/>
        <v>48025.000000000007</v>
      </c>
      <c r="Q25" s="22">
        <f t="shared" si="16"/>
        <v>48450.000000000007</v>
      </c>
      <c r="R25" s="22">
        <f t="shared" si="16"/>
        <v>48875.000000000007</v>
      </c>
      <c r="S25" s="22">
        <f t="shared" si="16"/>
        <v>49300.000000000007</v>
      </c>
      <c r="T25" s="22">
        <f t="shared" si="16"/>
        <v>49725.000000000007</v>
      </c>
      <c r="U25" s="22">
        <f t="shared" si="16"/>
        <v>50150.000000000007</v>
      </c>
      <c r="V25" s="22">
        <f t="shared" si="16"/>
        <v>50575.000000000007</v>
      </c>
      <c r="W25" s="22">
        <f t="shared" si="16"/>
        <v>51000.000000000007</v>
      </c>
      <c r="X25" s="22">
        <f t="shared" si="16"/>
        <v>51425.000000000007</v>
      </c>
      <c r="Y25" s="22">
        <f t="shared" si="16"/>
        <v>51850.000000000007</v>
      </c>
      <c r="Z25" s="22">
        <f t="shared" si="16"/>
        <v>52275.000000000007</v>
      </c>
      <c r="AA25" s="39">
        <f t="shared" si="16"/>
        <v>52700.000000000007</v>
      </c>
      <c r="AB25" s="22">
        <f t="shared" si="16"/>
        <v>53125.000000000007</v>
      </c>
      <c r="AC25" s="22">
        <f t="shared" si="16"/>
        <v>53550.000000000007</v>
      </c>
      <c r="AD25" s="22">
        <f t="shared" si="16"/>
        <v>53975.000000000007</v>
      </c>
      <c r="AE25" s="22">
        <f t="shared" si="16"/>
        <v>54400.000000000007</v>
      </c>
      <c r="AF25" s="22">
        <f t="shared" si="16"/>
        <v>54825.000000000015</v>
      </c>
      <c r="AG25" s="22">
        <f t="shared" si="16"/>
        <v>55250.000000000015</v>
      </c>
      <c r="AH25" s="22">
        <f t="shared" si="16"/>
        <v>55675.000000000015</v>
      </c>
      <c r="AI25" s="22">
        <f t="shared" si="16"/>
        <v>56100.000000000015</v>
      </c>
      <c r="AJ25" s="22">
        <f t="shared" si="16"/>
        <v>56525.000000000015</v>
      </c>
      <c r="AK25" s="22">
        <f t="shared" si="16"/>
        <v>56950.000000000015</v>
      </c>
      <c r="AL25" s="40">
        <f t="shared" si="16"/>
        <v>57375.000000000015</v>
      </c>
    </row>
    <row r="26" spans="1:39" ht="16" thickBot="1">
      <c r="A26" t="s">
        <v>67</v>
      </c>
      <c r="B26" s="20">
        <f>B25-B24</f>
        <v>11000</v>
      </c>
      <c r="C26" s="43">
        <f>(C25-C24)+B26</f>
        <v>13388.324885501032</v>
      </c>
      <c r="D26" s="44">
        <f t="shared" ref="D26:AL26" si="17">(D25-D24)+C26</f>
        <v>15938.574771002066</v>
      </c>
      <c r="E26" s="44">
        <f t="shared" si="17"/>
        <v>18650.749656503096</v>
      </c>
      <c r="F26" s="44">
        <f t="shared" si="17"/>
        <v>21524.849542004129</v>
      </c>
      <c r="G26" s="44">
        <f t="shared" si="17"/>
        <v>24560.874427505165</v>
      </c>
      <c r="H26" s="44">
        <f t="shared" si="17"/>
        <v>27758.824313006196</v>
      </c>
      <c r="I26" s="44">
        <f t="shared" si="17"/>
        <v>31118.699198507231</v>
      </c>
      <c r="J26" s="44">
        <f t="shared" si="17"/>
        <v>34640.499084008261</v>
      </c>
      <c r="K26" s="44">
        <f t="shared" si="17"/>
        <v>38324.223969509294</v>
      </c>
      <c r="L26" s="44">
        <f t="shared" si="17"/>
        <v>42169.87385501033</v>
      </c>
      <c r="M26" s="44">
        <f t="shared" si="17"/>
        <v>46177.448740511361</v>
      </c>
      <c r="N26" s="45">
        <f t="shared" si="17"/>
        <v>50346.948626012396</v>
      </c>
      <c r="O26" s="44">
        <f t="shared" si="17"/>
        <v>52178.373511513433</v>
      </c>
      <c r="P26" s="44">
        <f t="shared" si="17"/>
        <v>54171.723397014466</v>
      </c>
      <c r="Q26" s="44">
        <f t="shared" si="17"/>
        <v>56326.998282515502</v>
      </c>
      <c r="R26" s="44">
        <f t="shared" si="17"/>
        <v>58644.198168016534</v>
      </c>
      <c r="S26" s="44">
        <f t="shared" si="17"/>
        <v>61123.323053517568</v>
      </c>
      <c r="T26" s="44">
        <f t="shared" si="17"/>
        <v>63764.372939018605</v>
      </c>
      <c r="U26" s="44">
        <f t="shared" si="17"/>
        <v>66567.347824519646</v>
      </c>
      <c r="V26" s="44">
        <f t="shared" si="17"/>
        <v>69532.247710020689</v>
      </c>
      <c r="W26" s="44">
        <f t="shared" si="17"/>
        <v>72659.07259552172</v>
      </c>
      <c r="X26" s="44">
        <f t="shared" si="17"/>
        <v>75947.822481022755</v>
      </c>
      <c r="Y26" s="44">
        <f t="shared" si="17"/>
        <v>79398.497366523792</v>
      </c>
      <c r="Z26" s="44">
        <f t="shared" si="17"/>
        <v>83011.097252024832</v>
      </c>
      <c r="AA26" s="43">
        <f t="shared" si="17"/>
        <v>84285.622137525861</v>
      </c>
      <c r="AB26" s="44">
        <f t="shared" si="17"/>
        <v>85722.072023026893</v>
      </c>
      <c r="AC26" s="44">
        <f t="shared" si="17"/>
        <v>87320.446908527927</v>
      </c>
      <c r="AD26" s="44">
        <f t="shared" si="17"/>
        <v>89080.746794028964</v>
      </c>
      <c r="AE26" s="44">
        <f t="shared" si="17"/>
        <v>91002.97167952999</v>
      </c>
      <c r="AF26" s="44">
        <f t="shared" si="17"/>
        <v>93087.121565031019</v>
      </c>
      <c r="AG26" s="44">
        <f t="shared" si="17"/>
        <v>95333.19645053205</v>
      </c>
      <c r="AH26" s="44">
        <f t="shared" si="17"/>
        <v>97741.196336033085</v>
      </c>
      <c r="AI26" s="44">
        <f t="shared" si="17"/>
        <v>100311.12122153412</v>
      </c>
      <c r="AJ26" s="44">
        <f t="shared" si="17"/>
        <v>103042.97110703515</v>
      </c>
      <c r="AK26" s="44">
        <f t="shared" si="17"/>
        <v>105936.74599253618</v>
      </c>
      <c r="AL26" s="45">
        <f t="shared" si="17"/>
        <v>108992.44587803721</v>
      </c>
    </row>
    <row r="27" spans="1:39" ht="18">
      <c r="L27" s="140" t="s">
        <v>90</v>
      </c>
      <c r="M27" s="140"/>
      <c r="N27" s="7">
        <f>SUM(C20:N20)</f>
        <v>65578.247710020602</v>
      </c>
      <c r="X27" s="140" t="s">
        <v>91</v>
      </c>
      <c r="Y27" s="140"/>
      <c r="Z27" s="58">
        <f>SUM(O20:Z20)</f>
        <v>54440.247710020602</v>
      </c>
      <c r="AJ27" s="140" t="s">
        <v>92</v>
      </c>
      <c r="AK27" s="140"/>
      <c r="AL27" s="58">
        <f>SUM(AA20:AL20)</f>
        <v>43302.247710020703</v>
      </c>
      <c r="AM27" s="47"/>
    </row>
    <row r="29" spans="1:39">
      <c r="A29" t="s">
        <v>171</v>
      </c>
      <c r="B29" s="4">
        <f>Loan_Principal</f>
        <v>80000</v>
      </c>
      <c r="C29" s="100">
        <f>B29-C30</f>
        <v>78868.041475835053</v>
      </c>
      <c r="D29" s="100">
        <f t="shared" ref="D29:AL29" si="18">C29-D30</f>
        <v>77729.951509664214</v>
      </c>
      <c r="E29" s="100">
        <f t="shared" si="18"/>
        <v>76585.696889509942</v>
      </c>
      <c r="F29" s="100">
        <f t="shared" si="18"/>
        <v>75435.244223496498</v>
      </c>
      <c r="G29" s="100">
        <f t="shared" si="18"/>
        <v>74278.559938875493</v>
      </c>
      <c r="H29" s="100">
        <f t="shared" si="18"/>
        <v>73115.610281046116</v>
      </c>
      <c r="I29" s="100">
        <f t="shared" si="18"/>
        <v>71946.361312570167</v>
      </c>
      <c r="J29" s="100">
        <f t="shared" si="18"/>
        <v>70770.778912181646</v>
      </c>
      <c r="K29" s="100">
        <f t="shared" si="18"/>
        <v>69588.828773791014</v>
      </c>
      <c r="L29" s="100">
        <f t="shared" si="18"/>
        <v>68400.476405484093</v>
      </c>
      <c r="M29" s="100">
        <f t="shared" si="18"/>
        <v>67205.687128515521</v>
      </c>
      <c r="N29" s="100">
        <f t="shared" si="18"/>
        <v>66004.426076296702</v>
      </c>
      <c r="O29" s="100">
        <f t="shared" si="18"/>
        <v>64796.65819337836</v>
      </c>
      <c r="P29" s="100">
        <f t="shared" si="18"/>
        <v>63582.34823442754</v>
      </c>
      <c r="Q29" s="100">
        <f t="shared" si="18"/>
        <v>62361.460763199073</v>
      </c>
      <c r="R29" s="100">
        <f t="shared" si="18"/>
        <v>61133.960151501451</v>
      </c>
      <c r="S29" s="100">
        <f t="shared" si="18"/>
        <v>59899.810578157136</v>
      </c>
      <c r="T29" s="100">
        <f t="shared" si="18"/>
        <v>58658.9760279572</v>
      </c>
      <c r="U29" s="100">
        <f t="shared" si="18"/>
        <v>57411.420290610353</v>
      </c>
      <c r="V29" s="100">
        <f t="shared" si="18"/>
        <v>56157.106959686207</v>
      </c>
      <c r="W29" s="100">
        <f t="shared" si="18"/>
        <v>54895.999431552889</v>
      </c>
      <c r="X29" s="100">
        <f t="shared" si="18"/>
        <v>53628.060904308848</v>
      </c>
      <c r="Y29" s="100">
        <f t="shared" si="18"/>
        <v>52353.254376708901</v>
      </c>
      <c r="Z29" s="100">
        <f t="shared" si="18"/>
        <v>51071.542647084454</v>
      </c>
      <c r="AA29" s="100">
        <f t="shared" si="18"/>
        <v>49782.888312257877</v>
      </c>
      <c r="AB29" s="100">
        <f t="shared" si="18"/>
        <v>48487.253766450987</v>
      </c>
      <c r="AC29" s="100">
        <f t="shared" si="18"/>
        <v>47184.601200187644</v>
      </c>
      <c r="AD29" s="100">
        <f t="shared" si="18"/>
        <v>45874.892599190374</v>
      </c>
      <c r="AE29" s="100">
        <f t="shared" si="18"/>
        <v>44558.089743271041</v>
      </c>
      <c r="AF29" s="100">
        <f t="shared" si="18"/>
        <v>43234.154205215476</v>
      </c>
      <c r="AG29" s="100">
        <f t="shared" si="18"/>
        <v>41903.047349662113</v>
      </c>
      <c r="AH29" s="100">
        <f t="shared" si="18"/>
        <v>40564.730331974497</v>
      </c>
      <c r="AI29" s="100">
        <f t="shared" si="18"/>
        <v>39219.164097107743</v>
      </c>
      <c r="AJ29" s="100">
        <f t="shared" si="18"/>
        <v>37866.309378468795</v>
      </c>
      <c r="AK29" s="100">
        <f t="shared" si="18"/>
        <v>36506.126696770552</v>
      </c>
      <c r="AL29" s="100">
        <f t="shared" si="18"/>
        <v>35138.576358879778</v>
      </c>
    </row>
    <row r="30" spans="1:39">
      <c r="A30" t="s">
        <v>168</v>
      </c>
      <c r="C30" s="100">
        <f>PPMT(Monthly_Interest_Rate,Projections!C3,Debt_Payment_Periods,Projections!$B$29)*-1</f>
        <v>1131.9585241649499</v>
      </c>
      <c r="D30" s="100">
        <f>PPMT(Monthly_Interest_Rate,Projections!D3,Debt_Payment_Periods,Projections!$B$29)*-1</f>
        <v>1138.0899661708434</v>
      </c>
      <c r="E30" s="100">
        <f>PPMT(Monthly_Interest_Rate,Projections!E3,Debt_Payment_Periods,Projections!$B$29)*-1</f>
        <v>1144.2546201542689</v>
      </c>
      <c r="F30" s="100">
        <f>PPMT(Monthly_Interest_Rate,Projections!F3,Debt_Payment_Periods,Projections!$B$29)*-1</f>
        <v>1150.4526660134377</v>
      </c>
      <c r="G30" s="100">
        <f>PPMT(Monthly_Interest_Rate,Projections!G3,Debt_Payment_Periods,Projections!$B$29)*-1</f>
        <v>1156.6842846210106</v>
      </c>
      <c r="H30" s="100">
        <f>PPMT(Monthly_Interest_Rate,Projections!H3,Debt_Payment_Periods,Projections!$B$29)*-1</f>
        <v>1162.9496578293745</v>
      </c>
      <c r="I30" s="100">
        <f>PPMT(Monthly_Interest_Rate,Projections!I3,Debt_Payment_Periods,Projections!$B$29)*-1</f>
        <v>1169.2489684759501</v>
      </c>
      <c r="J30" s="100">
        <f>PPMT(Monthly_Interest_Rate,Projections!J3,Debt_Payment_Periods,Projections!$B$29)*-1</f>
        <v>1175.5824003885282</v>
      </c>
      <c r="K30" s="100">
        <f>PPMT(Monthly_Interest_Rate,Projections!K3,Debt_Payment_Periods,Projections!$B$29)*-1</f>
        <v>1181.9501383906327</v>
      </c>
      <c r="L30" s="100">
        <f>PPMT(Monthly_Interest_Rate,Projections!L3,Debt_Payment_Periods,Projections!$B$29)*-1</f>
        <v>1188.3523683069154</v>
      </c>
      <c r="M30" s="100">
        <f>PPMT(Monthly_Interest_Rate,Projections!M3,Debt_Payment_Periods,Projections!$B$29)*-1</f>
        <v>1194.789276968578</v>
      </c>
      <c r="N30" s="100">
        <f>PPMT(Monthly_Interest_Rate,Projections!N3,Debt_Payment_Periods,Projections!$B$29)*-1</f>
        <v>1201.2610522188243</v>
      </c>
      <c r="O30" s="100">
        <f>PPMT(Monthly_Interest_Rate,Projections!O3,Debt_Payment_Periods,Projections!$B$29)*-1</f>
        <v>1207.7678829183428</v>
      </c>
      <c r="P30" s="100">
        <f>PPMT(Monthly_Interest_Rate,Projections!P3,Debt_Payment_Periods,Projections!$B$29)*-1</f>
        <v>1214.3099589508174</v>
      </c>
      <c r="Q30" s="100">
        <f>PPMT(Monthly_Interest_Rate,Projections!Q3,Debt_Payment_Periods,Projections!$B$29)*-1</f>
        <v>1220.8874712284676</v>
      </c>
      <c r="R30" s="100">
        <f>PPMT(Monthly_Interest_Rate,Projections!R3,Debt_Payment_Periods,Projections!$B$29)*-1</f>
        <v>1227.5006116976217</v>
      </c>
      <c r="S30" s="100">
        <f>PPMT(Monthly_Interest_Rate,Projections!S3,Debt_Payment_Periods,Projections!$B$29)*-1</f>
        <v>1234.1495733443171</v>
      </c>
      <c r="T30" s="100">
        <f>PPMT(Monthly_Interest_Rate,Projections!T3,Debt_Payment_Periods,Projections!$B$29)*-1</f>
        <v>1240.8345501999322</v>
      </c>
      <c r="U30" s="100">
        <f>PPMT(Monthly_Interest_Rate,Projections!U3,Debt_Payment_Periods,Projections!$B$29)*-1</f>
        <v>1247.5557373468484</v>
      </c>
      <c r="V30" s="100">
        <f>PPMT(Monthly_Interest_Rate,Projections!V3,Debt_Payment_Periods,Projections!$B$29)*-1</f>
        <v>1254.3133309241439</v>
      </c>
      <c r="W30" s="100">
        <f>PPMT(Monthly_Interest_Rate,Projections!W3,Debt_Payment_Periods,Projections!$B$29)*-1</f>
        <v>1261.1075281333165</v>
      </c>
      <c r="X30" s="100">
        <f>PPMT(Monthly_Interest_Rate,Projections!X3,Debt_Payment_Periods,Projections!$B$29)*-1</f>
        <v>1267.9385272440386</v>
      </c>
      <c r="Y30" s="100">
        <f>PPMT(Monthly_Interest_Rate,Projections!Y3,Debt_Payment_Periods,Projections!$B$29)*-1</f>
        <v>1274.8065275999436</v>
      </c>
      <c r="Z30" s="100">
        <f>PPMT(Monthly_Interest_Rate,Projections!Z3,Debt_Payment_Periods,Projections!$B$29)*-1</f>
        <v>1281.7117296244435</v>
      </c>
      <c r="AA30" s="100">
        <f>PPMT(Monthly_Interest_Rate,Projections!AA3,Debt_Payment_Periods,Projections!$B$29)*-1</f>
        <v>1288.6543348265759</v>
      </c>
      <c r="AB30" s="100">
        <f>PPMT(Monthly_Interest_Rate,Projections!AB3,Debt_Payment_Periods,Projections!$B$29)*-1</f>
        <v>1295.6345458068865</v>
      </c>
      <c r="AC30" s="100">
        <f>PPMT(Monthly_Interest_Rate,Projections!AC3,Debt_Payment_Periods,Projections!$B$29)*-1</f>
        <v>1302.6525662633403</v>
      </c>
      <c r="AD30" s="100">
        <f>PPMT(Monthly_Interest_Rate,Projections!AD3,Debt_Payment_Periods,Projections!$B$29)*-1</f>
        <v>1309.708600997267</v>
      </c>
      <c r="AE30" s="100">
        <f>PPMT(Monthly_Interest_Rate,Projections!AE3,Debt_Payment_Periods,Projections!$B$29)*-1</f>
        <v>1316.8028559193353</v>
      </c>
      <c r="AF30" s="100">
        <f>PPMT(Monthly_Interest_Rate,Projections!AF3,Debt_Payment_Periods,Projections!$B$29)*-1</f>
        <v>1323.9355380555653</v>
      </c>
      <c r="AG30" s="100">
        <f>PPMT(Monthly_Interest_Rate,Projections!AG3,Debt_Payment_Periods,Projections!$B$29)*-1</f>
        <v>1331.1068555533661</v>
      </c>
      <c r="AH30" s="100">
        <f>PPMT(Monthly_Interest_Rate,Projections!AH3,Debt_Payment_Periods,Projections!$B$29)*-1</f>
        <v>1338.3170176876135</v>
      </c>
      <c r="AI30" s="100">
        <f>PPMT(Monthly_Interest_Rate,Projections!AI3,Debt_Payment_Periods,Projections!$B$29)*-1</f>
        <v>1345.5662348667549</v>
      </c>
      <c r="AJ30" s="100">
        <f>PPMT(Monthly_Interest_Rate,Projections!AJ3,Debt_Payment_Periods,Projections!$B$29)*-1</f>
        <v>1352.8547186389496</v>
      </c>
      <c r="AK30" s="100">
        <f>PPMT(Monthly_Interest_Rate,Projections!AK3,Debt_Payment_Periods,Projections!$B$29)*-1</f>
        <v>1360.1826816982441</v>
      </c>
      <c r="AL30" s="100">
        <f>PPMT(Monthly_Interest_Rate,Projections!AL3,Debt_Payment_Periods,Projections!$B$29)*-1</f>
        <v>1367.5503378907763</v>
      </c>
    </row>
    <row r="31" spans="1:39">
      <c r="A31" t="s">
        <v>169</v>
      </c>
      <c r="C31" s="100">
        <f>IPMT(Monthly_Interest_Rate,Projections!C3,Debt_Payment_Periods,Projections!$B$29)*-1</f>
        <v>433.33333333333337</v>
      </c>
      <c r="D31" s="100">
        <f>IPMT(Monthly_Interest_Rate,Projections!D3,Debt_Payment_Periods,Projections!$B$29)*-1</f>
        <v>427.20189132743997</v>
      </c>
      <c r="E31" s="100">
        <f>IPMT(Monthly_Interest_Rate,Projections!E3,Debt_Payment_Periods,Projections!$B$29)*-1</f>
        <v>421.0372373440145</v>
      </c>
      <c r="F31" s="100">
        <f>IPMT(Monthly_Interest_Rate,Projections!F3,Debt_Payment_Periods,Projections!$B$29)*-1</f>
        <v>414.83919148484563</v>
      </c>
      <c r="G31" s="100">
        <f>IPMT(Monthly_Interest_Rate,Projections!G3,Debt_Payment_Periods,Projections!$B$29)*-1</f>
        <v>408.60757287727279</v>
      </c>
      <c r="H31" s="100">
        <f>IPMT(Monthly_Interest_Rate,Projections!H3,Debt_Payment_Periods,Projections!$B$29)*-1</f>
        <v>402.3421996689089</v>
      </c>
      <c r="I31" s="100">
        <f>IPMT(Monthly_Interest_Rate,Projections!I3,Debt_Payment_Periods,Projections!$B$29)*-1</f>
        <v>396.04288902233316</v>
      </c>
      <c r="J31" s="100">
        <f>IPMT(Monthly_Interest_Rate,Projections!J3,Debt_Payment_Periods,Projections!$B$29)*-1</f>
        <v>389.70945710975502</v>
      </c>
      <c r="K31" s="100">
        <f>IPMT(Monthly_Interest_Rate,Projections!K3,Debt_Payment_Periods,Projections!$B$29)*-1</f>
        <v>383.34171910765053</v>
      </c>
      <c r="L31" s="100">
        <f>IPMT(Monthly_Interest_Rate,Projections!L3,Debt_Payment_Periods,Projections!$B$29)*-1</f>
        <v>376.93948919136801</v>
      </c>
      <c r="M31" s="100">
        <f>IPMT(Monthly_Interest_Rate,Projections!M3,Debt_Payment_Periods,Projections!$B$29)*-1</f>
        <v>370.5025805297056</v>
      </c>
      <c r="N31" s="100">
        <f>IPMT(Monthly_Interest_Rate,Projections!N3,Debt_Payment_Periods,Projections!$B$29)*-1</f>
        <v>364.030805279459</v>
      </c>
      <c r="O31" s="100">
        <f>IPMT(Monthly_Interest_Rate,Projections!O3,Debt_Payment_Periods,Projections!$B$29)*-1</f>
        <v>357.52397457994033</v>
      </c>
      <c r="P31" s="100">
        <f>IPMT(Monthly_Interest_Rate,Projections!P3,Debt_Payment_Periods,Projections!$B$29)*-1</f>
        <v>350.98189854746607</v>
      </c>
      <c r="Q31" s="100">
        <f>IPMT(Monthly_Interest_Rate,Projections!Q3,Debt_Payment_Periods,Projections!$B$29)*-1</f>
        <v>344.4043862698158</v>
      </c>
      <c r="R31" s="100">
        <f>IPMT(Monthly_Interest_Rate,Projections!R3,Debt_Payment_Periods,Projections!$B$29)*-1</f>
        <v>337.79124580066156</v>
      </c>
      <c r="S31" s="100">
        <f>IPMT(Monthly_Interest_Rate,Projections!S3,Debt_Payment_Periods,Projections!$B$29)*-1</f>
        <v>331.1422841539661</v>
      </c>
      <c r="T31" s="100">
        <f>IPMT(Monthly_Interest_Rate,Projections!T3,Debt_Payment_Periods,Projections!$B$29)*-1</f>
        <v>324.45730729835105</v>
      </c>
      <c r="U31" s="100">
        <f>IPMT(Monthly_Interest_Rate,Projections!U3,Debt_Payment_Periods,Projections!$B$29)*-1</f>
        <v>317.7361201514347</v>
      </c>
      <c r="V31" s="100">
        <f>IPMT(Monthly_Interest_Rate,Projections!V3,Debt_Payment_Periods,Projections!$B$29)*-1</f>
        <v>310.97852657413932</v>
      </c>
      <c r="W31" s="100">
        <f>IPMT(Monthly_Interest_Rate,Projections!W3,Debt_Payment_Periods,Projections!$B$29)*-1</f>
        <v>304.18432936496691</v>
      </c>
      <c r="X31" s="100">
        <f>IPMT(Monthly_Interest_Rate,Projections!X3,Debt_Payment_Periods,Projections!$B$29)*-1</f>
        <v>297.35333025424472</v>
      </c>
      <c r="Y31" s="100">
        <f>IPMT(Monthly_Interest_Rate,Projections!Y3,Debt_Payment_Periods,Projections!$B$29)*-1</f>
        <v>290.4853298983395</v>
      </c>
      <c r="Z31" s="100">
        <f>IPMT(Monthly_Interest_Rate,Projections!Z3,Debt_Payment_Periods,Projections!$B$29)*-1</f>
        <v>283.58012787383984</v>
      </c>
      <c r="AA31" s="100">
        <f>IPMT(Monthly_Interest_Rate,Projections!AA3,Debt_Payment_Periods,Projections!$B$29)*-1</f>
        <v>276.63752267170742</v>
      </c>
      <c r="AB31" s="100">
        <f>IPMT(Monthly_Interest_Rate,Projections!AB3,Debt_Payment_Periods,Projections!$B$29)*-1</f>
        <v>269.65731169139679</v>
      </c>
      <c r="AC31" s="100">
        <f>IPMT(Monthly_Interest_Rate,Projections!AC3,Debt_Payment_Periods,Projections!$B$29)*-1</f>
        <v>262.63929123494285</v>
      </c>
      <c r="AD31" s="100">
        <f>IPMT(Monthly_Interest_Rate,Projections!AD3,Debt_Payment_Periods,Projections!$B$29)*-1</f>
        <v>255.58325650101642</v>
      </c>
      <c r="AE31" s="100">
        <f>IPMT(Monthly_Interest_Rate,Projections!AE3,Debt_Payment_Periods,Projections!$B$29)*-1</f>
        <v>248.48900157894792</v>
      </c>
      <c r="AF31" s="100">
        <f>IPMT(Monthly_Interest_Rate,Projections!AF3,Debt_Payment_Periods,Projections!$B$29)*-1</f>
        <v>241.35631944271819</v>
      </c>
      <c r="AG31" s="100">
        <f>IPMT(Monthly_Interest_Rate,Projections!AG3,Debt_Payment_Periods,Projections!$B$29)*-1</f>
        <v>234.18500194491716</v>
      </c>
      <c r="AH31" s="100">
        <f>IPMT(Monthly_Interest_Rate,Projections!AH3,Debt_Payment_Periods,Projections!$B$29)*-1</f>
        <v>226.97483981066978</v>
      </c>
      <c r="AI31" s="100">
        <f>IPMT(Monthly_Interest_Rate,Projections!AI3,Debt_Payment_Periods,Projections!$B$29)*-1</f>
        <v>219.72562263152852</v>
      </c>
      <c r="AJ31" s="100">
        <f>IPMT(Monthly_Interest_Rate,Projections!AJ3,Debt_Payment_Periods,Projections!$B$29)*-1</f>
        <v>212.43713885933363</v>
      </c>
      <c r="AK31" s="100">
        <f>IPMT(Monthly_Interest_Rate,Projections!AK3,Debt_Payment_Periods,Projections!$B$29)*-1</f>
        <v>205.10917580003931</v>
      </c>
      <c r="AL31" s="100">
        <f>IPMT(Monthly_Interest_Rate,Projections!AL3,Debt_Payment_Periods,Projections!$B$29)*-1</f>
        <v>197.74151960750717</v>
      </c>
    </row>
    <row r="32" spans="1:39">
      <c r="A32" t="s">
        <v>170</v>
      </c>
      <c r="C32" s="100">
        <f>C30+C31</f>
        <v>1565.2918574982832</v>
      </c>
      <c r="D32" s="100">
        <f t="shared" ref="D32:AL32" si="19">D30+D31</f>
        <v>1565.2918574982832</v>
      </c>
      <c r="E32" s="100">
        <f t="shared" si="19"/>
        <v>1565.2918574982834</v>
      </c>
      <c r="F32" s="100">
        <f t="shared" si="19"/>
        <v>1565.2918574982832</v>
      </c>
      <c r="G32" s="100">
        <f t="shared" si="19"/>
        <v>1565.2918574982834</v>
      </c>
      <c r="H32" s="100">
        <f t="shared" si="19"/>
        <v>1565.2918574982834</v>
      </c>
      <c r="I32" s="100">
        <f t="shared" si="19"/>
        <v>1565.2918574982832</v>
      </c>
      <c r="J32" s="100">
        <f t="shared" si="19"/>
        <v>1565.2918574982832</v>
      </c>
      <c r="K32" s="100">
        <f t="shared" si="19"/>
        <v>1565.2918574982832</v>
      </c>
      <c r="L32" s="100">
        <f t="shared" si="19"/>
        <v>1565.2918574982834</v>
      </c>
      <c r="M32" s="100">
        <f t="shared" si="19"/>
        <v>1565.2918574982837</v>
      </c>
      <c r="N32" s="100">
        <f t="shared" si="19"/>
        <v>1565.2918574982832</v>
      </c>
      <c r="O32" s="100">
        <f t="shared" si="19"/>
        <v>1565.2918574982832</v>
      </c>
      <c r="P32" s="100">
        <f t="shared" si="19"/>
        <v>1565.2918574982834</v>
      </c>
      <c r="Q32" s="100">
        <f t="shared" si="19"/>
        <v>1565.2918574982834</v>
      </c>
      <c r="R32" s="100">
        <f t="shared" si="19"/>
        <v>1565.2918574982832</v>
      </c>
      <c r="S32" s="100">
        <f t="shared" si="19"/>
        <v>1565.2918574982832</v>
      </c>
      <c r="T32" s="100">
        <f t="shared" si="19"/>
        <v>1565.2918574982832</v>
      </c>
      <c r="U32" s="100">
        <f t="shared" si="19"/>
        <v>1565.2918574982832</v>
      </c>
      <c r="V32" s="100">
        <f t="shared" si="19"/>
        <v>1565.2918574982832</v>
      </c>
      <c r="W32" s="100">
        <f t="shared" si="19"/>
        <v>1565.2918574982834</v>
      </c>
      <c r="X32" s="100">
        <f t="shared" si="19"/>
        <v>1565.2918574982832</v>
      </c>
      <c r="Y32" s="100">
        <f t="shared" si="19"/>
        <v>1565.2918574982832</v>
      </c>
      <c r="Z32" s="100">
        <f t="shared" si="19"/>
        <v>1565.2918574982832</v>
      </c>
      <c r="AA32" s="100">
        <f t="shared" si="19"/>
        <v>1565.2918574982832</v>
      </c>
      <c r="AB32" s="100">
        <f t="shared" si="19"/>
        <v>1565.2918574982832</v>
      </c>
      <c r="AC32" s="100">
        <f t="shared" si="19"/>
        <v>1565.2918574982832</v>
      </c>
      <c r="AD32" s="100">
        <f t="shared" si="19"/>
        <v>1565.2918574982834</v>
      </c>
      <c r="AE32" s="100">
        <f t="shared" si="19"/>
        <v>1565.2918574982832</v>
      </c>
      <c r="AF32" s="100">
        <f t="shared" si="19"/>
        <v>1565.2918574982834</v>
      </c>
      <c r="AG32" s="100">
        <f t="shared" si="19"/>
        <v>1565.2918574982832</v>
      </c>
      <c r="AH32" s="100">
        <f t="shared" si="19"/>
        <v>1565.2918574982832</v>
      </c>
      <c r="AI32" s="100">
        <f t="shared" si="19"/>
        <v>1565.2918574982834</v>
      </c>
      <c r="AJ32" s="100">
        <f t="shared" si="19"/>
        <v>1565.2918574982832</v>
      </c>
      <c r="AK32" s="100">
        <f t="shared" si="19"/>
        <v>1565.2918574982834</v>
      </c>
      <c r="AL32" s="100">
        <f t="shared" si="19"/>
        <v>1565.2918574982834</v>
      </c>
    </row>
    <row r="35" spans="3:3">
      <c r="C35" s="4"/>
    </row>
  </sheetData>
  <mergeCells count="6">
    <mergeCell ref="C1:N1"/>
    <mergeCell ref="O1:Z1"/>
    <mergeCell ref="AA1:AL1"/>
    <mergeCell ref="L27:M27"/>
    <mergeCell ref="X27:Y27"/>
    <mergeCell ref="AJ27:AK27"/>
  </mergeCells>
  <pageMargins left="0.75" right="0.75" top="1" bottom="1" header="0.5" footer="0.5"/>
  <pageSetup orientation="portrait" horizontalDpi="4294967292" verticalDpi="4294967292"/>
  <legacyDrawing r:id="rId1"/>
  <extLst>
    <ext xmlns:x14="http://schemas.microsoft.com/office/spreadsheetml/2009/9/main" uri="{78C0D931-6437-407d-A8EE-F0AAD7539E65}">
      <x14:conditionalFormattings>
        <x14:conditionalFormatting xmlns:xm="http://schemas.microsoft.com/office/excel/2006/main">
          <x14:cfRule type="cellIs" priority="1" operator="notEqual" id="{A5955E1B-59D4-454F-987A-D70F48C2AABE}">
            <xm:f>Answers!$B$3</xm:f>
            <x14:dxf>
              <font>
                <color rgb="FF9C0006"/>
              </font>
              <fill>
                <patternFill>
                  <bgColor rgb="FFFFC7CE"/>
                </patternFill>
              </fill>
            </x14:dxf>
          </x14:cfRule>
          <xm:sqref>C32:AL32</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2:E40"/>
  <sheetViews>
    <sheetView showRuler="0" view="pageLayout" topLeftCell="A10" workbookViewId="0">
      <selection activeCell="C14" sqref="C14"/>
    </sheetView>
  </sheetViews>
  <sheetFormatPr baseColWidth="10" defaultRowHeight="15" x14ac:dyDescent="0"/>
  <cols>
    <col min="1" max="1" width="4.1640625" customWidth="1"/>
    <col min="2" max="2" width="34" bestFit="1" customWidth="1"/>
    <col min="3" max="3" width="11.6640625" bestFit="1" customWidth="1"/>
    <col min="4" max="4" width="12.5" bestFit="1" customWidth="1"/>
    <col min="5" max="5" width="12.6640625" bestFit="1" customWidth="1"/>
  </cols>
  <sheetData>
    <row r="2" spans="1:5">
      <c r="A2" s="141" t="str">
        <f>Business_Name</f>
        <v>Example Inc.</v>
      </c>
      <c r="B2" s="141"/>
      <c r="C2" s="141"/>
      <c r="D2" s="141"/>
      <c r="E2" s="141"/>
    </row>
    <row r="3" spans="1:5">
      <c r="A3" s="141" t="s">
        <v>69</v>
      </c>
      <c r="B3" s="141"/>
      <c r="C3" s="141"/>
      <c r="D3" s="141"/>
      <c r="E3" s="141"/>
    </row>
    <row r="4" spans="1:5">
      <c r="A4" s="141" t="s">
        <v>70</v>
      </c>
      <c r="B4" s="141"/>
      <c r="C4" s="141"/>
      <c r="D4" s="141"/>
      <c r="E4" s="141"/>
    </row>
    <row r="5" spans="1:5">
      <c r="A5" s="144"/>
      <c r="B5" s="144"/>
      <c r="C5" s="144"/>
      <c r="D5" s="145">
        <f>Questionnaire!B2</f>
        <v>2012</v>
      </c>
      <c r="E5" s="145"/>
    </row>
    <row r="7" spans="1:5">
      <c r="A7" s="141" t="s">
        <v>71</v>
      </c>
      <c r="B7" s="141"/>
      <c r="C7" s="141"/>
      <c r="D7" s="141"/>
      <c r="E7" s="141"/>
    </row>
    <row r="9" spans="1:5">
      <c r="C9" s="49">
        <f>Projections!C1</f>
        <v>2012</v>
      </c>
      <c r="D9" s="49"/>
      <c r="E9" s="49"/>
    </row>
    <row r="10" spans="1:5">
      <c r="A10" s="143" t="s">
        <v>72</v>
      </c>
      <c r="B10" s="143"/>
    </row>
    <row r="11" spans="1:5">
      <c r="A11" s="142" t="s">
        <v>73</v>
      </c>
      <c r="B11" s="142"/>
    </row>
    <row r="12" spans="1:5">
      <c r="A12" s="34"/>
      <c r="B12" s="99" t="s">
        <v>74</v>
      </c>
      <c r="C12" s="53">
        <f>Projections!N26</f>
        <v>50346.948626012396</v>
      </c>
      <c r="D12" s="53"/>
      <c r="E12" s="53"/>
    </row>
    <row r="13" spans="1:5">
      <c r="A13" s="34"/>
      <c r="B13" s="99" t="s">
        <v>75</v>
      </c>
      <c r="C13" s="52">
        <v>0</v>
      </c>
      <c r="D13" s="52"/>
      <c r="E13" s="52"/>
    </row>
    <row r="14" spans="1:5">
      <c r="A14" s="34"/>
      <c r="B14" s="99" t="s">
        <v>76</v>
      </c>
      <c r="C14" s="52">
        <v>0</v>
      </c>
      <c r="D14" s="52"/>
      <c r="E14" s="52"/>
    </row>
    <row r="15" spans="1:5">
      <c r="A15" s="34"/>
      <c r="B15" s="99" t="s">
        <v>77</v>
      </c>
      <c r="C15" s="54">
        <f>Initial_Stock</f>
        <v>4500</v>
      </c>
      <c r="D15" s="60"/>
      <c r="E15" s="60"/>
    </row>
    <row r="16" spans="1:5">
      <c r="A16" s="34"/>
      <c r="B16" s="34"/>
      <c r="C16" s="56">
        <f>SUM(C12:C15)</f>
        <v>54846.948626012396</v>
      </c>
      <c r="D16" s="60"/>
      <c r="E16" s="60"/>
    </row>
    <row r="17" spans="1:5" s="59" customFormat="1">
      <c r="A17" s="131"/>
      <c r="B17" s="131"/>
      <c r="C17" s="60"/>
      <c r="D17" s="60"/>
      <c r="E17" s="60"/>
    </row>
    <row r="18" spans="1:5">
      <c r="A18" s="142" t="s">
        <v>78</v>
      </c>
      <c r="B18" s="142"/>
      <c r="C18" s="54">
        <f>Equipment+Furniture</f>
        <v>15000</v>
      </c>
      <c r="D18" s="60"/>
      <c r="E18" s="60"/>
    </row>
    <row r="19" spans="1:5">
      <c r="A19" s="142" t="s">
        <v>79</v>
      </c>
      <c r="B19" s="142"/>
      <c r="C19" s="54">
        <v>0</v>
      </c>
      <c r="D19" s="60"/>
      <c r="E19" s="60"/>
    </row>
    <row r="20" spans="1:5" ht="16" thickBot="1">
      <c r="A20" s="34"/>
      <c r="B20" s="34"/>
      <c r="C20" s="55">
        <f>C16+C18+C19</f>
        <v>69846.948626012396</v>
      </c>
      <c r="D20" s="60"/>
      <c r="E20" s="60"/>
    </row>
    <row r="21" spans="1:5" ht="16" thickTop="1">
      <c r="A21" s="34"/>
      <c r="B21" s="34"/>
      <c r="D21" s="23"/>
      <c r="E21" s="23"/>
    </row>
    <row r="22" spans="1:5">
      <c r="A22" s="143" t="s">
        <v>80</v>
      </c>
      <c r="B22" s="143"/>
      <c r="D22" s="23"/>
      <c r="E22" s="23"/>
    </row>
    <row r="23" spans="1:5" s="59" customFormat="1">
      <c r="A23" s="142" t="s">
        <v>165</v>
      </c>
      <c r="B23" s="142"/>
      <c r="D23" s="23"/>
      <c r="E23" s="23"/>
    </row>
    <row r="24" spans="1:5">
      <c r="A24" s="34"/>
      <c r="B24" s="34" t="s">
        <v>81</v>
      </c>
      <c r="C24" s="51">
        <v>0</v>
      </c>
      <c r="D24" s="61"/>
      <c r="E24" s="61"/>
    </row>
    <row r="25" spans="1:5">
      <c r="A25" s="34"/>
      <c r="B25" s="34" t="s">
        <v>82</v>
      </c>
      <c r="C25" s="52">
        <v>0</v>
      </c>
      <c r="D25" s="62"/>
      <c r="E25" s="62"/>
    </row>
    <row r="26" spans="1:5">
      <c r="A26" s="34"/>
      <c r="B26" s="34" t="s">
        <v>83</v>
      </c>
      <c r="C26" s="54">
        <f>SUM(Projections!O30:Z30)</f>
        <v>14932.883429212234</v>
      </c>
      <c r="D26" s="63"/>
      <c r="E26" s="63"/>
    </row>
    <row r="27" spans="1:5">
      <c r="A27" s="34"/>
      <c r="B27" s="34" t="s">
        <v>84</v>
      </c>
      <c r="C27" s="54">
        <v>0</v>
      </c>
      <c r="D27" s="60"/>
      <c r="E27" s="60"/>
    </row>
    <row r="28" spans="1:5">
      <c r="A28" s="34"/>
      <c r="B28" s="34"/>
      <c r="C28" s="56">
        <f>SUM(C24:C27)</f>
        <v>14932.883429212234</v>
      </c>
      <c r="D28" s="60"/>
      <c r="E28" s="60"/>
    </row>
    <row r="29" spans="1:5" s="59" customFormat="1">
      <c r="A29" s="34"/>
      <c r="B29" s="34"/>
      <c r="C29" s="60"/>
      <c r="D29" s="60"/>
      <c r="E29" s="60"/>
    </row>
    <row r="30" spans="1:5">
      <c r="A30" s="148" t="s">
        <v>85</v>
      </c>
      <c r="B30" s="148"/>
      <c r="C30" s="83">
        <f>Projections!N29-'Y1 Balance Sheet'!C26</f>
        <v>51071.542647084469</v>
      </c>
      <c r="D30" s="64"/>
      <c r="E30" s="64"/>
    </row>
    <row r="31" spans="1:5">
      <c r="A31" s="34"/>
      <c r="B31" s="34"/>
      <c r="C31" s="57">
        <f>C28+C30</f>
        <v>66004.426076296702</v>
      </c>
      <c r="D31" s="60"/>
      <c r="E31" s="60"/>
    </row>
    <row r="32" spans="1:5">
      <c r="A32" s="34"/>
      <c r="B32" s="34"/>
      <c r="D32" s="23"/>
      <c r="E32" s="23"/>
    </row>
    <row r="33" spans="1:5">
      <c r="A33" s="143" t="s">
        <v>86</v>
      </c>
      <c r="B33" s="143"/>
      <c r="D33" s="23"/>
      <c r="E33" s="23"/>
    </row>
    <row r="34" spans="1:5">
      <c r="A34" s="148" t="s">
        <v>166</v>
      </c>
      <c r="B34" s="148"/>
      <c r="C34" s="54">
        <f>Amount_Due_To_Shareholders</f>
        <v>10000</v>
      </c>
      <c r="D34" s="60"/>
      <c r="E34" s="60"/>
    </row>
    <row r="35" spans="1:5">
      <c r="A35" s="148" t="s">
        <v>87</v>
      </c>
      <c r="B35" s="148"/>
      <c r="C35" s="65">
        <f>Y1_Retained_Earnings</f>
        <v>-6157.477450284292</v>
      </c>
      <c r="D35" s="63"/>
      <c r="E35" s="63"/>
    </row>
    <row r="36" spans="1:5">
      <c r="A36" s="34"/>
      <c r="B36" s="34"/>
      <c r="C36" s="54">
        <f>C34+C35</f>
        <v>3842.522549715708</v>
      </c>
      <c r="D36" s="60"/>
      <c r="E36" s="60"/>
    </row>
    <row r="37" spans="1:5" ht="16" thickBot="1">
      <c r="A37" s="34"/>
      <c r="B37" s="34"/>
      <c r="C37" s="55">
        <f>C31+C36</f>
        <v>69846.94862601241</v>
      </c>
      <c r="D37" s="60"/>
      <c r="E37" s="60"/>
    </row>
    <row r="38" spans="1:5" ht="16" thickTop="1">
      <c r="A38" s="34"/>
      <c r="B38" s="34"/>
    </row>
    <row r="39" spans="1:5">
      <c r="A39" s="146" t="s">
        <v>89</v>
      </c>
      <c r="B39" s="146"/>
    </row>
    <row r="40" spans="1:5">
      <c r="A40" s="147"/>
      <c r="B40" s="147"/>
    </row>
  </sheetData>
  <mergeCells count="18">
    <mergeCell ref="A23:B23"/>
    <mergeCell ref="A5:C5"/>
    <mergeCell ref="D5:E5"/>
    <mergeCell ref="A39:B39"/>
    <mergeCell ref="A40:B40"/>
    <mergeCell ref="A30:B30"/>
    <mergeCell ref="A33:B33"/>
    <mergeCell ref="A34:B34"/>
    <mergeCell ref="A35:B35"/>
    <mergeCell ref="A2:E2"/>
    <mergeCell ref="A18:B18"/>
    <mergeCell ref="A19:B19"/>
    <mergeCell ref="A22:B22"/>
    <mergeCell ref="A11:B11"/>
    <mergeCell ref="A10:B10"/>
    <mergeCell ref="A7:E7"/>
    <mergeCell ref="A4:E4"/>
    <mergeCell ref="A3:E3"/>
  </mergeCells>
  <phoneticPr fontId="5" type="noConversion"/>
  <conditionalFormatting sqref="C37">
    <cfRule type="cellIs" dxfId="11" priority="3" operator="notEqual">
      <formula>$C$20</formula>
    </cfRule>
  </conditionalFormatting>
  <conditionalFormatting sqref="D37">
    <cfRule type="cellIs" dxfId="10" priority="2" operator="notEqual">
      <formula>$D$20</formula>
    </cfRule>
  </conditionalFormatting>
  <conditionalFormatting sqref="E37">
    <cfRule type="cellIs" dxfId="9" priority="1" operator="notEqual">
      <formula>$E$20</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dimension ref="A2:E36"/>
  <sheetViews>
    <sheetView showRuler="0" view="pageLayout" topLeftCell="A7" workbookViewId="0">
      <selection activeCell="C27" sqref="C27"/>
    </sheetView>
  </sheetViews>
  <sheetFormatPr baseColWidth="10" defaultRowHeight="15" x14ac:dyDescent="0"/>
  <cols>
    <col min="1" max="1" width="3.83203125" customWidth="1"/>
    <col min="2" max="2" width="42.1640625" bestFit="1" customWidth="1"/>
    <col min="3" max="3" width="12.5" bestFit="1" customWidth="1"/>
  </cols>
  <sheetData>
    <row r="2" spans="1:5">
      <c r="A2" s="141" t="str">
        <f>Questionnaire!B1</f>
        <v>Example Inc.</v>
      </c>
      <c r="B2" s="141"/>
      <c r="C2" s="141"/>
      <c r="D2" s="141"/>
      <c r="E2" s="141"/>
    </row>
    <row r="3" spans="1:5">
      <c r="A3" s="141" t="s">
        <v>93</v>
      </c>
      <c r="B3" s="141"/>
      <c r="C3" s="141"/>
      <c r="D3" s="141"/>
      <c r="E3" s="141"/>
    </row>
    <row r="4" spans="1:5">
      <c r="A4" s="141" t="s">
        <v>94</v>
      </c>
      <c r="B4" s="141"/>
      <c r="C4" s="141"/>
      <c r="D4" s="141"/>
      <c r="E4" s="141"/>
    </row>
    <row r="5" spans="1:5">
      <c r="A5" s="151"/>
      <c r="B5" s="152"/>
      <c r="C5" s="152"/>
      <c r="D5" s="153">
        <f>Projections!C1</f>
        <v>2012</v>
      </c>
      <c r="E5" s="153"/>
    </row>
    <row r="7" spans="1:5">
      <c r="A7" s="141" t="s">
        <v>95</v>
      </c>
      <c r="B7" s="141"/>
      <c r="C7" s="141"/>
      <c r="D7" s="141"/>
      <c r="E7" s="141"/>
    </row>
    <row r="9" spans="1:5">
      <c r="C9" s="49">
        <f>Projections!C1</f>
        <v>2012</v>
      </c>
    </row>
    <row r="10" spans="1:5">
      <c r="A10" s="150" t="s">
        <v>96</v>
      </c>
      <c r="B10" s="150"/>
      <c r="C10" s="72">
        <f>SUM(Projections!C6:N6)</f>
        <v>538050</v>
      </c>
    </row>
    <row r="11" spans="1:5">
      <c r="A11" s="34"/>
      <c r="B11" s="34"/>
    </row>
    <row r="12" spans="1:5">
      <c r="A12" s="150" t="s">
        <v>97</v>
      </c>
      <c r="B12" s="150"/>
    </row>
    <row r="13" spans="1:5">
      <c r="A13" s="34"/>
      <c r="B13" s="34" t="s">
        <v>98</v>
      </c>
      <c r="C13" s="54">
        <f>Initial_Stock</f>
        <v>4500</v>
      </c>
    </row>
    <row r="14" spans="1:5">
      <c r="A14" s="34"/>
      <c r="B14" s="34" t="s">
        <v>99</v>
      </c>
      <c r="C14" s="54">
        <f>SUM(Projections!C8:N8)</f>
        <v>196388.25</v>
      </c>
    </row>
    <row r="15" spans="1:5">
      <c r="A15" s="34"/>
      <c r="B15" s="34"/>
      <c r="C15" s="56">
        <f>C13+C14</f>
        <v>200888.25</v>
      </c>
    </row>
    <row r="16" spans="1:5">
      <c r="A16" s="34"/>
      <c r="B16" s="34" t="s">
        <v>100</v>
      </c>
      <c r="C16" s="54">
        <f>C15-'Y1 Income Statement'!C14</f>
        <v>4500</v>
      </c>
    </row>
    <row r="17" spans="1:3">
      <c r="A17" s="34"/>
      <c r="B17" s="34"/>
      <c r="C17" s="57">
        <f>C15-C16</f>
        <v>196388.25</v>
      </c>
    </row>
    <row r="18" spans="1:3">
      <c r="A18" s="34"/>
      <c r="B18" s="34"/>
      <c r="C18" s="54"/>
    </row>
    <row r="19" spans="1:3">
      <c r="A19" s="150" t="s">
        <v>101</v>
      </c>
      <c r="B19" s="150"/>
      <c r="C19" s="73">
        <f>C10-C17</f>
        <v>341661.75</v>
      </c>
    </row>
    <row r="20" spans="1:3">
      <c r="A20" s="34"/>
      <c r="B20" s="34"/>
      <c r="C20" s="54"/>
    </row>
    <row r="21" spans="1:3">
      <c r="A21" s="150" t="s">
        <v>102</v>
      </c>
      <c r="B21" s="150"/>
      <c r="C21" s="73">
        <f>SUM(Projections!C18:N18)</f>
        <v>276083.50228997943</v>
      </c>
    </row>
    <row r="22" spans="1:3">
      <c r="A22" s="150" t="s">
        <v>103</v>
      </c>
      <c r="B22" s="150"/>
      <c r="C22" s="54">
        <f>C19-C21</f>
        <v>65578.247710020572</v>
      </c>
    </row>
    <row r="23" spans="1:3">
      <c r="A23" s="34"/>
      <c r="B23" s="34"/>
      <c r="C23" s="54"/>
    </row>
    <row r="24" spans="1:3">
      <c r="A24" s="150" t="s">
        <v>104</v>
      </c>
      <c r="B24" s="150"/>
      <c r="C24" s="54"/>
    </row>
    <row r="25" spans="1:3">
      <c r="A25" s="34"/>
      <c r="B25" s="34" t="s">
        <v>105</v>
      </c>
      <c r="C25" s="54">
        <v>0</v>
      </c>
    </row>
    <row r="26" spans="1:3">
      <c r="A26" s="34"/>
      <c r="B26" s="34" t="s">
        <v>106</v>
      </c>
      <c r="C26" s="54">
        <v>0</v>
      </c>
    </row>
    <row r="27" spans="1:3">
      <c r="A27" s="34"/>
      <c r="B27" s="34" t="s">
        <v>107</v>
      </c>
      <c r="C27" s="54">
        <f>(Year_One_Expenses-Year_One_COGS-Operating_Expenses-Year_One_Tax_Expense)*-1</f>
        <v>-45504.42607629663</v>
      </c>
    </row>
    <row r="28" spans="1:3">
      <c r="A28" s="34"/>
      <c r="B28" s="34"/>
      <c r="C28" s="57">
        <f>SUM(C25:C27)</f>
        <v>-45504.42607629663</v>
      </c>
    </row>
    <row r="29" spans="1:3">
      <c r="A29" s="150" t="s">
        <v>108</v>
      </c>
      <c r="B29" s="150"/>
      <c r="C29" s="54">
        <f>C22+C28</f>
        <v>20073.821633723943</v>
      </c>
    </row>
    <row r="30" spans="1:3">
      <c r="A30" s="150" t="s">
        <v>109</v>
      </c>
      <c r="B30" s="150"/>
      <c r="C30" s="73">
        <f>SUM(Projections!C22:N22)</f>
        <v>26231.299084008238</v>
      </c>
    </row>
    <row r="31" spans="1:3">
      <c r="A31" s="150" t="s">
        <v>110</v>
      </c>
      <c r="B31" s="150"/>
      <c r="C31" s="54">
        <f>C29-C30</f>
        <v>-6157.4774502842956</v>
      </c>
    </row>
    <row r="32" spans="1:3">
      <c r="A32" s="34"/>
      <c r="B32" s="34"/>
      <c r="C32" s="54"/>
    </row>
    <row r="33" spans="1:3">
      <c r="A33" s="150" t="s">
        <v>111</v>
      </c>
      <c r="B33" s="150"/>
      <c r="C33" s="54">
        <v>0</v>
      </c>
    </row>
    <row r="34" spans="1:3">
      <c r="A34" s="150" t="s">
        <v>112</v>
      </c>
      <c r="B34" s="150"/>
      <c r="C34" s="54">
        <v>0</v>
      </c>
    </row>
    <row r="35" spans="1:3" ht="16" thickBot="1">
      <c r="A35" s="149" t="s">
        <v>113</v>
      </c>
      <c r="B35" s="149"/>
      <c r="C35" s="74">
        <f>C31+C33-C34</f>
        <v>-6157.4774502842956</v>
      </c>
    </row>
    <row r="36" spans="1:3" ht="16" thickTop="1"/>
  </sheetData>
  <mergeCells count="18">
    <mergeCell ref="A7:E7"/>
    <mergeCell ref="A2:E2"/>
    <mergeCell ref="A3:E3"/>
    <mergeCell ref="A4:E4"/>
    <mergeCell ref="A5:C5"/>
    <mergeCell ref="D5:E5"/>
    <mergeCell ref="A35:B35"/>
    <mergeCell ref="A10:B10"/>
    <mergeCell ref="A12:B12"/>
    <mergeCell ref="A19:B19"/>
    <mergeCell ref="A21:B21"/>
    <mergeCell ref="A22:B22"/>
    <mergeCell ref="A24:B24"/>
    <mergeCell ref="A29:B29"/>
    <mergeCell ref="A30:B30"/>
    <mergeCell ref="A31:B31"/>
    <mergeCell ref="A33:B33"/>
    <mergeCell ref="A34:B34"/>
  </mergeCells>
  <phoneticPr fontId="5" type="noConversion"/>
  <pageMargins left="0.75" right="0.75" top="1" bottom="1" header="0.5" footer="0.5"/>
  <pageSetup orientation="portrait" horizontalDpi="4294967292" verticalDpi="4294967292"/>
  <legacyDrawing r:id="rId1"/>
  <extLst>
    <ext xmlns:x14="http://schemas.microsoft.com/office/spreadsheetml/2009/9/main" uri="{78C0D931-6437-407d-A8EE-F0AAD7539E65}">
      <x14:conditionalFormattings>
        <x14:conditionalFormatting xmlns:xm="http://schemas.microsoft.com/office/excel/2006/main">
          <x14:cfRule type="cellIs" priority="1" operator="notEqual" id="{515CF943-20EF-5B40-B554-35D55E5BB371}">
            <xm:f>'Y1 Bookkeeping'!$B$7</xm:f>
            <x14:dxf>
              <font>
                <color rgb="FF9C0006"/>
              </font>
              <fill>
                <patternFill>
                  <bgColor rgb="FFFFC7CE"/>
                </patternFill>
              </fill>
            </x14:dxf>
          </x14:cfRule>
          <xm:sqref>C35</xm:sqref>
        </x14:conditionalFormatting>
      </x14:conditionalFormattings>
    </ex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dimension ref="A2:E42"/>
  <sheetViews>
    <sheetView tabSelected="1" showRuler="0" view="pageLayout" topLeftCell="A13" workbookViewId="0">
      <selection activeCell="C26" sqref="C26"/>
    </sheetView>
  </sheetViews>
  <sheetFormatPr baseColWidth="10" defaultRowHeight="15" x14ac:dyDescent="0"/>
  <cols>
    <col min="1" max="1" width="3.83203125" customWidth="1"/>
    <col min="2" max="2" width="40.5" bestFit="1" customWidth="1"/>
    <col min="3" max="3" width="12.1640625" bestFit="1" customWidth="1"/>
  </cols>
  <sheetData>
    <row r="2" spans="1:5">
      <c r="A2" s="141" t="str">
        <f>Questionnaire!B1</f>
        <v>Example Inc.</v>
      </c>
      <c r="B2" s="141"/>
      <c r="C2" s="141"/>
      <c r="D2" s="141"/>
      <c r="E2" s="141"/>
    </row>
    <row r="3" spans="1:5">
      <c r="A3" s="141" t="s">
        <v>114</v>
      </c>
      <c r="B3" s="141"/>
      <c r="C3" s="141"/>
      <c r="D3" s="141"/>
      <c r="E3" s="141"/>
    </row>
    <row r="4" spans="1:5">
      <c r="A4" s="141" t="s">
        <v>115</v>
      </c>
      <c r="B4" s="141"/>
      <c r="C4" s="141"/>
      <c r="D4" s="141"/>
      <c r="E4" s="141"/>
    </row>
    <row r="5" spans="1:5">
      <c r="A5" s="152"/>
      <c r="B5" s="152"/>
      <c r="C5" s="152"/>
      <c r="D5" s="153">
        <f>Projections!C1</f>
        <v>2012</v>
      </c>
      <c r="E5" s="153"/>
    </row>
    <row r="7" spans="1:5">
      <c r="A7" s="141" t="s">
        <v>95</v>
      </c>
      <c r="B7" s="141"/>
      <c r="C7" s="141"/>
      <c r="D7" s="141"/>
      <c r="E7" s="141"/>
    </row>
    <row r="9" spans="1:5">
      <c r="C9" s="49">
        <f>Projections!C1</f>
        <v>2012</v>
      </c>
    </row>
    <row r="10" spans="1:5">
      <c r="A10" s="150" t="s">
        <v>116</v>
      </c>
      <c r="B10" s="150"/>
    </row>
    <row r="11" spans="1:5">
      <c r="A11" s="34"/>
      <c r="B11" s="101" t="s">
        <v>117</v>
      </c>
      <c r="C11" s="53">
        <f>'Y1 Income Statement'!C31</f>
        <v>-6157.4774502842956</v>
      </c>
    </row>
    <row r="12" spans="1:5">
      <c r="A12" s="154" t="s">
        <v>118</v>
      </c>
      <c r="B12" s="154"/>
      <c r="C12" s="54"/>
    </row>
    <row r="13" spans="1:5">
      <c r="A13" s="34"/>
      <c r="B13" s="101" t="s">
        <v>119</v>
      </c>
      <c r="C13" s="54">
        <v>0</v>
      </c>
    </row>
    <row r="14" spans="1:5">
      <c r="A14" s="34"/>
      <c r="B14" s="101" t="s">
        <v>105</v>
      </c>
      <c r="C14" s="54">
        <v>0</v>
      </c>
    </row>
    <row r="15" spans="1:5">
      <c r="A15" s="34"/>
      <c r="B15" s="101" t="s">
        <v>120</v>
      </c>
      <c r="C15" s="54">
        <v>0</v>
      </c>
    </row>
    <row r="16" spans="1:5">
      <c r="A16" s="34"/>
      <c r="B16" s="101" t="s">
        <v>121</v>
      </c>
      <c r="C16" s="56">
        <f>C11+C13+C14-C15</f>
        <v>-6157.4774502842956</v>
      </c>
    </row>
    <row r="17" spans="1:3">
      <c r="A17" s="34"/>
      <c r="B17" s="34"/>
      <c r="C17" s="54"/>
    </row>
    <row r="18" spans="1:3">
      <c r="A18" s="154" t="s">
        <v>122</v>
      </c>
      <c r="B18" s="154"/>
      <c r="C18" s="54"/>
    </row>
    <row r="19" spans="1:3">
      <c r="A19" s="34"/>
      <c r="B19" s="101" t="s">
        <v>123</v>
      </c>
      <c r="C19" s="54">
        <v>0</v>
      </c>
    </row>
    <row r="20" spans="1:3">
      <c r="A20" s="34"/>
      <c r="B20" s="101" t="s">
        <v>124</v>
      </c>
      <c r="C20" s="54">
        <v>0</v>
      </c>
    </row>
    <row r="21" spans="1:3">
      <c r="A21" s="34"/>
      <c r="B21" s="101" t="s">
        <v>125</v>
      </c>
      <c r="C21" s="54">
        <f>-1*Initial_Stock</f>
        <v>-4500</v>
      </c>
    </row>
    <row r="22" spans="1:3">
      <c r="A22" s="34"/>
      <c r="B22" s="101" t="s">
        <v>126</v>
      </c>
      <c r="C22" s="54">
        <v>0</v>
      </c>
    </row>
    <row r="23" spans="1:3">
      <c r="A23" s="34"/>
      <c r="B23" s="101" t="s">
        <v>83</v>
      </c>
      <c r="C23" s="54">
        <f>0</f>
        <v>0</v>
      </c>
    </row>
    <row r="24" spans="1:3">
      <c r="A24" s="34"/>
      <c r="B24" s="101" t="s">
        <v>127</v>
      </c>
      <c r="C24" s="54">
        <v>0</v>
      </c>
    </row>
    <row r="25" spans="1:3">
      <c r="A25" s="148" t="s">
        <v>128</v>
      </c>
      <c r="B25" s="148"/>
      <c r="C25" s="57">
        <f>C16+SUM(C19:C24)</f>
        <v>-10657.477450284296</v>
      </c>
    </row>
    <row r="26" spans="1:3">
      <c r="A26" s="34"/>
      <c r="B26" s="34"/>
      <c r="C26" s="54"/>
    </row>
    <row r="27" spans="1:3">
      <c r="A27" s="150" t="s">
        <v>130</v>
      </c>
      <c r="B27" s="150"/>
      <c r="C27" s="54"/>
    </row>
    <row r="28" spans="1:3">
      <c r="A28" s="34"/>
      <c r="B28" s="101" t="s">
        <v>131</v>
      </c>
      <c r="C28" s="54">
        <f>'Y1 Balance Sheet'!C18*-1</f>
        <v>-15000</v>
      </c>
    </row>
    <row r="29" spans="1:3">
      <c r="A29" s="34"/>
      <c r="B29" s="101" t="s">
        <v>132</v>
      </c>
      <c r="C29" s="54">
        <v>0</v>
      </c>
    </row>
    <row r="30" spans="1:3">
      <c r="A30" s="34"/>
      <c r="B30" s="101" t="s">
        <v>133</v>
      </c>
      <c r="C30" s="54">
        <v>0</v>
      </c>
    </row>
    <row r="31" spans="1:3">
      <c r="A31" s="34"/>
      <c r="B31" s="101" t="s">
        <v>134</v>
      </c>
      <c r="C31" s="54">
        <v>0</v>
      </c>
    </row>
    <row r="32" spans="1:3">
      <c r="A32" s="148" t="s">
        <v>135</v>
      </c>
      <c r="B32" s="148"/>
      <c r="C32" s="57">
        <f>SUM(C28:C31)</f>
        <v>-15000</v>
      </c>
    </row>
    <row r="33" spans="1:3">
      <c r="A33" s="34"/>
      <c r="B33" s="34"/>
      <c r="C33" s="54"/>
    </row>
    <row r="34" spans="1:3">
      <c r="A34" s="150" t="s">
        <v>136</v>
      </c>
      <c r="B34" s="150"/>
      <c r="C34" s="54"/>
    </row>
    <row r="35" spans="1:3">
      <c r="A35" s="34"/>
      <c r="B35" s="101" t="s">
        <v>137</v>
      </c>
      <c r="C35" s="54">
        <f>Amount_Due_To_Shareholders</f>
        <v>10000</v>
      </c>
    </row>
    <row r="36" spans="1:3">
      <c r="A36" s="34"/>
      <c r="B36" s="101" t="s">
        <v>138</v>
      </c>
      <c r="C36" s="54">
        <f>Projections!N29</f>
        <v>66004.426076296702</v>
      </c>
    </row>
    <row r="37" spans="1:3">
      <c r="A37" s="34"/>
      <c r="B37" s="34"/>
      <c r="C37" s="57">
        <f>C35+C36</f>
        <v>76004.426076296702</v>
      </c>
    </row>
    <row r="38" spans="1:3">
      <c r="A38" s="34"/>
      <c r="B38" s="34"/>
      <c r="C38" s="54"/>
    </row>
    <row r="39" spans="1:3">
      <c r="A39" s="150" t="s">
        <v>139</v>
      </c>
      <c r="B39" s="150"/>
      <c r="C39" s="54">
        <f>C25+C32+C37</f>
        <v>50346.94862601241</v>
      </c>
    </row>
    <row r="40" spans="1:3">
      <c r="A40" s="148" t="s">
        <v>140</v>
      </c>
      <c r="B40" s="148"/>
      <c r="C40" s="54">
        <v>0</v>
      </c>
    </row>
    <row r="41" spans="1:3" ht="16" thickBot="1">
      <c r="A41" s="150" t="s">
        <v>141</v>
      </c>
      <c r="B41" s="150"/>
      <c r="C41" s="74">
        <f>C39+C40</f>
        <v>50346.94862601241</v>
      </c>
    </row>
    <row r="42" spans="1:3" ht="16" thickTop="1"/>
  </sheetData>
  <mergeCells count="16">
    <mergeCell ref="A7:E7"/>
    <mergeCell ref="A2:E2"/>
    <mergeCell ref="A3:E3"/>
    <mergeCell ref="A4:E4"/>
    <mergeCell ref="A5:C5"/>
    <mergeCell ref="D5:E5"/>
    <mergeCell ref="A34:B34"/>
    <mergeCell ref="A39:B39"/>
    <mergeCell ref="A40:B40"/>
    <mergeCell ref="A41:B41"/>
    <mergeCell ref="A10:B10"/>
    <mergeCell ref="A25:B25"/>
    <mergeCell ref="A12:B12"/>
    <mergeCell ref="A18:B18"/>
    <mergeCell ref="A27:B27"/>
    <mergeCell ref="A32:B32"/>
  </mergeCells>
  <phoneticPr fontId="5" type="noConversion"/>
  <pageMargins left="0.75" right="0.75" top="1" bottom="1" header="0.5" footer="0.5"/>
  <pageSetup orientation="portrait" horizontalDpi="4294967292" verticalDpi="4294967292"/>
  <legacyDrawing r:id="rId1"/>
  <extLst>
    <ext xmlns:x14="http://schemas.microsoft.com/office/spreadsheetml/2009/9/main" uri="{78C0D931-6437-407d-A8EE-F0AAD7539E65}">
      <x14:conditionalFormattings>
        <x14:conditionalFormatting xmlns:xm="http://schemas.microsoft.com/office/excel/2006/main">
          <x14:cfRule type="cellIs" priority="1" operator="notEqual" id="{805579B3-DEC9-3B45-B67C-CB63F5EF1DF5}">
            <xm:f>'Y1 Bookkeeping'!$A$30</xm:f>
            <x14:dxf>
              <font>
                <color rgb="FF9C0006"/>
              </font>
              <fill>
                <patternFill>
                  <bgColor rgb="FFFFC7CE"/>
                </patternFill>
              </fill>
            </x14:dxf>
          </x14:cfRule>
          <xm:sqref>C41</xm:sqref>
        </x14:conditionalFormatting>
      </x14:conditionalFormattings>
    </ex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D14"/>
  <sheetViews>
    <sheetView showRuler="0" workbookViewId="0">
      <selection activeCell="B6" sqref="B6"/>
    </sheetView>
  </sheetViews>
  <sheetFormatPr baseColWidth="10" defaultRowHeight="15" x14ac:dyDescent="0"/>
  <cols>
    <col min="1" max="1" width="24.33203125" bestFit="1" customWidth="1"/>
    <col min="2" max="2" width="25.1640625" bestFit="1" customWidth="1"/>
    <col min="3" max="3" width="16.33203125" bestFit="1" customWidth="1"/>
    <col min="4" max="4" width="11" bestFit="1" customWidth="1"/>
  </cols>
  <sheetData>
    <row r="1" spans="1:4" ht="18">
      <c r="A1" s="137" t="s">
        <v>151</v>
      </c>
      <c r="B1" s="139"/>
    </row>
    <row r="2" spans="1:4">
      <c r="A2" s="21" t="s">
        <v>152</v>
      </c>
      <c r="B2" s="40">
        <f>Total_Estimated_Market_Size*Percentage_Of_Market_Captured*Sales_Margin</f>
        <v>209550</v>
      </c>
    </row>
    <row r="3" spans="1:4">
      <c r="A3" s="21" t="s">
        <v>153</v>
      </c>
      <c r="B3" s="40">
        <f>B2*Compareable_P_E</f>
        <v>2305050</v>
      </c>
    </row>
    <row r="4" spans="1:4">
      <c r="A4" s="84" t="s">
        <v>154</v>
      </c>
      <c r="B4" s="40">
        <f>B3/(1+Desired_IRR)^Years_to_Exit</f>
        <v>428588.16267031612</v>
      </c>
    </row>
    <row r="5" spans="1:4">
      <c r="A5" s="84" t="s">
        <v>155</v>
      </c>
      <c r="B5" s="85">
        <f>(Percentage_of_Company_Sold/Founder_Ownership)*Currently_Issued_Shares</f>
        <v>0</v>
      </c>
    </row>
    <row r="6" spans="1:4" ht="16" thickBot="1">
      <c r="A6" s="84" t="s">
        <v>156</v>
      </c>
      <c r="B6" s="40" t="e">
        <f>Desired_Equity_Investment/Valuation!B5</f>
        <v>#DIV/0!</v>
      </c>
    </row>
    <row r="7" spans="1:4" ht="18">
      <c r="A7" s="137" t="s">
        <v>158</v>
      </c>
      <c r="B7" s="138"/>
      <c r="C7" s="87"/>
      <c r="D7" s="88"/>
    </row>
    <row r="8" spans="1:4">
      <c r="A8" s="84" t="s">
        <v>159</v>
      </c>
      <c r="B8" s="22">
        <f>C10+C11+C12+C13+D14</f>
        <v>56127.827033416273</v>
      </c>
      <c r="C8" s="23"/>
      <c r="D8" s="27"/>
    </row>
    <row r="9" spans="1:4">
      <c r="A9" s="89" t="s">
        <v>160</v>
      </c>
      <c r="B9" s="90" t="s">
        <v>163</v>
      </c>
      <c r="C9" s="86" t="s">
        <v>161</v>
      </c>
      <c r="D9" s="91" t="s">
        <v>162</v>
      </c>
    </row>
    <row r="10" spans="1:4" s="59" customFormat="1">
      <c r="A10" s="92">
        <v>0</v>
      </c>
      <c r="B10" s="93">
        <f>Projections!B24*-1</f>
        <v>-79000</v>
      </c>
      <c r="C10" s="97">
        <f>B10</f>
        <v>-79000</v>
      </c>
      <c r="D10" s="27"/>
    </row>
    <row r="11" spans="1:4">
      <c r="A11" s="94">
        <v>1</v>
      </c>
      <c r="B11" s="67">
        <f>SUM(Projections!C20:N20)</f>
        <v>65578.247710020602</v>
      </c>
      <c r="C11" s="67">
        <f>B11/(1+Desired_IRR)^Valuation!A11</f>
        <v>46841.605507157576</v>
      </c>
      <c r="D11" s="68"/>
    </row>
    <row r="12" spans="1:4">
      <c r="A12" s="94">
        <v>2</v>
      </c>
      <c r="B12" s="67">
        <f>SUM(Projections!O20:Z20)</f>
        <v>54440.247710020602</v>
      </c>
      <c r="C12" s="67">
        <f>B12/(1+Desired_IRR)^Valuation!A12</f>
        <v>27775.636586745208</v>
      </c>
      <c r="D12" s="68"/>
    </row>
    <row r="13" spans="1:4">
      <c r="A13" s="94">
        <v>3</v>
      </c>
      <c r="B13" s="67">
        <f>SUM(Projections!AA20:AL20)</f>
        <v>43302.247710020703</v>
      </c>
      <c r="C13" s="67">
        <f>B13/(1+Desired_IRR)^Valuation!A13</f>
        <v>15780.702518229124</v>
      </c>
      <c r="D13" s="68"/>
    </row>
    <row r="14" spans="1:4" s="59" customFormat="1" ht="16" thickBot="1">
      <c r="A14" s="95"/>
      <c r="B14" s="96"/>
      <c r="C14" s="96"/>
      <c r="D14" s="98">
        <f>((B13/Capitalization_Rate)/(1+Desired_IRR)^Years_to_Exit)</f>
        <v>44729.882421284368</v>
      </c>
    </row>
  </sheetData>
  <mergeCells count="2">
    <mergeCell ref="A1:B1"/>
    <mergeCell ref="A7:B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Questionnaire</vt:lpstr>
      <vt:lpstr>Master Control</vt:lpstr>
      <vt:lpstr>Answers</vt:lpstr>
      <vt:lpstr>Projections</vt:lpstr>
      <vt:lpstr>Y1 Balance Sheet</vt:lpstr>
      <vt:lpstr>Y1 Income Statement</vt:lpstr>
      <vt:lpstr>Y1 Statement of Cash Flow</vt:lpstr>
      <vt:lpstr>Valuation</vt:lpstr>
      <vt:lpstr>Y1 Bookkeeping</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McKay</dc:creator>
  <cp:lastModifiedBy>Andrew McKay</cp:lastModifiedBy>
  <cp:lastPrinted>2012-07-20T17:22:40Z</cp:lastPrinted>
  <dcterms:created xsi:type="dcterms:W3CDTF">2012-07-20T16:24:10Z</dcterms:created>
  <dcterms:modified xsi:type="dcterms:W3CDTF">2012-07-23T21:56:57Z</dcterms:modified>
</cp:coreProperties>
</file>